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int\Documents\prwTEACHING\00 Short Courses\USU Short Course\2024\FIRST DAM\"/>
    </mc:Choice>
  </mc:AlternateContent>
  <xr:revisionPtr revIDLastSave="0" documentId="13_ncr:1_{9DFCA311-AA36-474C-B310-7F91EB201ADF}" xr6:coauthVersionLast="36" xr6:coauthVersionMax="36" xr10:uidLastSave="{00000000-0000-0000-0000-000000000000}"/>
  <bookViews>
    <workbookView xWindow="0" yWindow="50" windowWidth="19040" windowHeight="9470" tabRatio="538" xr2:uid="{00000000-000D-0000-FFFF-FFFF00000000}"/>
  </bookViews>
  <sheets>
    <sheet name="Direct step" sheetId="1" r:id="rId1"/>
    <sheet name="GSD" sheetId="3" r:id="rId2"/>
  </sheets>
  <definedNames>
    <definedName name="Dfifty">GSD!$F$29</definedName>
    <definedName name="Dninety">GSD!$F$31</definedName>
    <definedName name="g">'Direct step'!$B$7</definedName>
    <definedName name="Hbw">'Direct step'!$B$4</definedName>
    <definedName name="hc">'Direct step'!$B$8</definedName>
    <definedName name="hn">'Direct step'!$B$9</definedName>
    <definedName name="n">'Direct step'!$B$5</definedName>
    <definedName name="nD">GSD!$F$41</definedName>
    <definedName name="q">'Direct step'!$B$3</definedName>
    <definedName name="So">'Direct step'!$B$6</definedName>
  </definedNames>
  <calcPr calcId="191029" iterate="1"/>
</workbook>
</file>

<file path=xl/calcChain.xml><?xml version="1.0" encoding="utf-8"?>
<calcChain xmlns="http://schemas.openxmlformats.org/spreadsheetml/2006/main">
  <c r="A19" i="1" l="1"/>
  <c r="F33" i="3" l="1"/>
  <c r="E36" i="3"/>
  <c r="F36" i="3" s="1"/>
  <c r="F35" i="3"/>
  <c r="E35" i="3"/>
  <c r="E34" i="3"/>
  <c r="E33" i="3"/>
  <c r="B24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F34" i="3" l="1"/>
  <c r="Q2" i="1"/>
  <c r="Q4" i="1" s="1"/>
  <c r="B3" i="1" s="1"/>
  <c r="C9" i="3"/>
  <c r="A24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E28" i="3"/>
  <c r="F28" i="3"/>
  <c r="E29" i="3"/>
  <c r="F29" i="3" s="1"/>
  <c r="E30" i="3"/>
  <c r="F30" i="3"/>
  <c r="E31" i="3"/>
  <c r="F31" i="3" l="1"/>
  <c r="F40" i="3" s="1"/>
  <c r="F41" i="3" s="1"/>
  <c r="B5" i="1" s="1"/>
  <c r="B9" i="1" s="1"/>
  <c r="A60" i="1" s="1"/>
  <c r="B60" i="1" s="1"/>
  <c r="D60" i="1" l="1"/>
  <c r="B8" i="1"/>
  <c r="A20" i="1" l="1"/>
  <c r="A74" i="1"/>
  <c r="B74" i="1" s="1"/>
  <c r="G19" i="1"/>
  <c r="B19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C20" i="1"/>
  <c r="B20" i="1"/>
  <c r="D20" i="1" l="1"/>
  <c r="H20" i="1" s="1"/>
  <c r="B21" i="1"/>
  <c r="C22" i="1"/>
  <c r="D22" i="1" s="1"/>
  <c r="I22" i="1" s="1"/>
  <c r="B22" i="1"/>
  <c r="C21" i="1"/>
  <c r="D21" i="1" s="1"/>
  <c r="I21" i="1" s="1"/>
  <c r="C55" i="1"/>
  <c r="C24" i="1"/>
  <c r="C51" i="1"/>
  <c r="B23" i="1"/>
  <c r="B51" i="1"/>
  <c r="C23" i="1"/>
  <c r="C53" i="1"/>
  <c r="B52" i="1"/>
  <c r="C52" i="1"/>
  <c r="B24" i="1"/>
  <c r="D55" i="1" l="1"/>
  <c r="B55" i="1"/>
  <c r="C56" i="1"/>
  <c r="J20" i="1"/>
  <c r="J22" i="1"/>
  <c r="J21" i="1"/>
  <c r="H21" i="1"/>
  <c r="I20" i="1"/>
  <c r="H22" i="1"/>
  <c r="E20" i="1"/>
  <c r="F20" i="1" s="1"/>
  <c r="G20" i="1" s="1"/>
  <c r="E22" i="1"/>
  <c r="E21" i="1"/>
  <c r="D23" i="1"/>
  <c r="I23" i="1" s="1"/>
  <c r="D24" i="1"/>
  <c r="H24" i="1" s="1"/>
  <c r="D52" i="1"/>
  <c r="H52" i="1" s="1"/>
  <c r="D53" i="1"/>
  <c r="D51" i="1"/>
  <c r="B54" i="1"/>
  <c r="B53" i="1"/>
  <c r="B25" i="1"/>
  <c r="C26" i="1"/>
  <c r="C25" i="1"/>
  <c r="E55" i="1" l="1"/>
  <c r="I55" i="1"/>
  <c r="J55" i="1"/>
  <c r="H55" i="1"/>
  <c r="D56" i="1"/>
  <c r="C57" i="1"/>
  <c r="B56" i="1"/>
  <c r="J51" i="1"/>
  <c r="J23" i="1"/>
  <c r="J52" i="1"/>
  <c r="J53" i="1"/>
  <c r="J24" i="1"/>
  <c r="I24" i="1"/>
  <c r="H23" i="1"/>
  <c r="I52" i="1"/>
  <c r="H53" i="1"/>
  <c r="I53" i="1"/>
  <c r="I51" i="1"/>
  <c r="H51" i="1"/>
  <c r="F21" i="1"/>
  <c r="AP21" i="1" s="1"/>
  <c r="AP20" i="1"/>
  <c r="E24" i="1"/>
  <c r="E23" i="1"/>
  <c r="E52" i="1"/>
  <c r="E53" i="1"/>
  <c r="D25" i="1"/>
  <c r="I25" i="1" s="1"/>
  <c r="D26" i="1"/>
  <c r="C54" i="1"/>
  <c r="B26" i="1"/>
  <c r="E56" i="1" l="1"/>
  <c r="D57" i="1"/>
  <c r="B57" i="1"/>
  <c r="H56" i="1"/>
  <c r="I56" i="1"/>
  <c r="J56" i="1"/>
  <c r="J26" i="1"/>
  <c r="J25" i="1"/>
  <c r="H26" i="1"/>
  <c r="I26" i="1"/>
  <c r="H25" i="1"/>
  <c r="F22" i="1"/>
  <c r="AP22" i="1" s="1"/>
  <c r="G21" i="1"/>
  <c r="E25" i="1"/>
  <c r="E26" i="1"/>
  <c r="D54" i="1"/>
  <c r="I54" i="1" s="1"/>
  <c r="C28" i="1"/>
  <c r="B27" i="1"/>
  <c r="C27" i="1"/>
  <c r="J57" i="1" l="1"/>
  <c r="I57" i="1"/>
  <c r="H57" i="1"/>
  <c r="B58" i="1"/>
  <c r="C59" i="1"/>
  <c r="C58" i="1"/>
  <c r="E57" i="1"/>
  <c r="J54" i="1"/>
  <c r="H54" i="1"/>
  <c r="G22" i="1"/>
  <c r="F23" i="1"/>
  <c r="AP23" i="1" s="1"/>
  <c r="E54" i="1"/>
  <c r="D27" i="1"/>
  <c r="I27" i="1" s="1"/>
  <c r="D28" i="1"/>
  <c r="B28" i="1"/>
  <c r="D59" i="1" l="1"/>
  <c r="D58" i="1"/>
  <c r="H58" i="1" s="1"/>
  <c r="B59" i="1"/>
  <c r="A75" i="1"/>
  <c r="J27" i="1"/>
  <c r="J28" i="1"/>
  <c r="F24" i="1"/>
  <c r="AP24" i="1" s="1"/>
  <c r="H27" i="1"/>
  <c r="H28" i="1"/>
  <c r="I28" i="1"/>
  <c r="G23" i="1"/>
  <c r="E27" i="1"/>
  <c r="E28" i="1"/>
  <c r="C30" i="1"/>
  <c r="B29" i="1"/>
  <c r="C29" i="1"/>
  <c r="E59" i="1" l="1"/>
  <c r="I59" i="1"/>
  <c r="J59" i="1"/>
  <c r="H59" i="1"/>
  <c r="I58" i="1"/>
  <c r="E58" i="1"/>
  <c r="B75" i="1"/>
  <c r="C75" i="1"/>
  <c r="J58" i="1"/>
  <c r="F25" i="1"/>
  <c r="AP25" i="1" s="1"/>
  <c r="G24" i="1"/>
  <c r="D29" i="1"/>
  <c r="D30" i="1"/>
  <c r="C31" i="1"/>
  <c r="B30" i="1"/>
  <c r="D75" i="1" l="1"/>
  <c r="E75" i="1" s="1"/>
  <c r="F75" i="1" s="1"/>
  <c r="G75" i="1" s="1"/>
  <c r="J30" i="1"/>
  <c r="J29" i="1"/>
  <c r="F26" i="1"/>
  <c r="AP26" i="1" s="1"/>
  <c r="G25" i="1"/>
  <c r="I30" i="1"/>
  <c r="I29" i="1"/>
  <c r="H30" i="1"/>
  <c r="H29" i="1"/>
  <c r="D31" i="1"/>
  <c r="E29" i="1"/>
  <c r="B31" i="1"/>
  <c r="C32" i="1"/>
  <c r="E30" i="1"/>
  <c r="F27" i="1" l="1"/>
  <c r="AP27" i="1" s="1"/>
  <c r="G26" i="1"/>
  <c r="J31" i="1"/>
  <c r="H31" i="1"/>
  <c r="I31" i="1"/>
  <c r="E31" i="1"/>
  <c r="D32" i="1"/>
  <c r="B32" i="1"/>
  <c r="G27" i="1" l="1"/>
  <c r="F28" i="1"/>
  <c r="AP28" i="1" s="1"/>
  <c r="J32" i="1"/>
  <c r="H32" i="1"/>
  <c r="I32" i="1"/>
  <c r="E32" i="1"/>
  <c r="B33" i="1"/>
  <c r="C33" i="1"/>
  <c r="G28" i="1" l="1"/>
  <c r="F29" i="1"/>
  <c r="AP29" i="1" s="1"/>
  <c r="D33" i="1"/>
  <c r="I33" i="1" s="1"/>
  <c r="B34" i="1"/>
  <c r="C34" i="1"/>
  <c r="F30" i="1" l="1"/>
  <c r="AP30" i="1" s="1"/>
  <c r="G29" i="1"/>
  <c r="J33" i="1"/>
  <c r="H33" i="1"/>
  <c r="E33" i="1"/>
  <c r="D34" i="1"/>
  <c r="I34" i="1" s="1"/>
  <c r="C36" i="1"/>
  <c r="B35" i="1"/>
  <c r="C35" i="1"/>
  <c r="F31" i="1" l="1"/>
  <c r="AP31" i="1" s="1"/>
  <c r="G30" i="1"/>
  <c r="J34" i="1"/>
  <c r="H34" i="1"/>
  <c r="E34" i="1"/>
  <c r="D36" i="1"/>
  <c r="D35" i="1"/>
  <c r="I35" i="1" s="1"/>
  <c r="B36" i="1"/>
  <c r="F32" i="1" l="1"/>
  <c r="AP32" i="1" s="1"/>
  <c r="G31" i="1"/>
  <c r="J36" i="1"/>
  <c r="J35" i="1"/>
  <c r="H36" i="1"/>
  <c r="I36" i="1"/>
  <c r="H35" i="1"/>
  <c r="E35" i="1"/>
  <c r="E36" i="1"/>
  <c r="B37" i="1"/>
  <c r="C37" i="1"/>
  <c r="G32" i="1" l="1"/>
  <c r="F33" i="1"/>
  <c r="AP33" i="1" s="1"/>
  <c r="D37" i="1"/>
  <c r="I37" i="1" s="1"/>
  <c r="B38" i="1"/>
  <c r="C38" i="1"/>
  <c r="G33" i="1" l="1"/>
  <c r="F34" i="1"/>
  <c r="AP34" i="1" s="1"/>
  <c r="J37" i="1"/>
  <c r="H37" i="1"/>
  <c r="E37" i="1"/>
  <c r="D38" i="1"/>
  <c r="I38" i="1" s="1"/>
  <c r="B39" i="1"/>
  <c r="C39" i="1"/>
  <c r="F35" i="1" l="1"/>
  <c r="AP35" i="1" s="1"/>
  <c r="G34" i="1"/>
  <c r="J38" i="1"/>
  <c r="H38" i="1"/>
  <c r="E38" i="1"/>
  <c r="D39" i="1"/>
  <c r="I39" i="1" s="1"/>
  <c r="B40" i="1"/>
  <c r="C41" i="1"/>
  <c r="C40" i="1"/>
  <c r="F36" i="1" l="1"/>
  <c r="AP36" i="1" s="1"/>
  <c r="G35" i="1"/>
  <c r="J39" i="1"/>
  <c r="H39" i="1"/>
  <c r="E39" i="1"/>
  <c r="D40" i="1"/>
  <c r="D41" i="1"/>
  <c r="B41" i="1"/>
  <c r="G36" i="1" l="1"/>
  <c r="F37" i="1"/>
  <c r="AP37" i="1" s="1"/>
  <c r="J41" i="1"/>
  <c r="J40" i="1"/>
  <c r="H41" i="1"/>
  <c r="I41" i="1"/>
  <c r="H40" i="1"/>
  <c r="I40" i="1"/>
  <c r="E41" i="1"/>
  <c r="E40" i="1"/>
  <c r="B42" i="1"/>
  <c r="C43" i="1"/>
  <c r="C42" i="1"/>
  <c r="F38" i="1" l="1"/>
  <c r="AP38" i="1" s="1"/>
  <c r="G37" i="1"/>
  <c r="D43" i="1"/>
  <c r="D42" i="1"/>
  <c r="C44" i="1"/>
  <c r="B43" i="1"/>
  <c r="F39" i="1" l="1"/>
  <c r="AP39" i="1" s="1"/>
  <c r="G38" i="1"/>
  <c r="J43" i="1"/>
  <c r="J42" i="1"/>
  <c r="H43" i="1"/>
  <c r="H42" i="1"/>
  <c r="I43" i="1"/>
  <c r="I42" i="1"/>
  <c r="D44" i="1"/>
  <c r="E42" i="1"/>
  <c r="E43" i="1"/>
  <c r="B44" i="1"/>
  <c r="C45" i="1"/>
  <c r="G39" i="1" l="1"/>
  <c r="F40" i="1"/>
  <c r="AP40" i="1" s="1"/>
  <c r="J44" i="1"/>
  <c r="I44" i="1"/>
  <c r="H44" i="1"/>
  <c r="D45" i="1"/>
  <c r="E44" i="1"/>
  <c r="B45" i="1"/>
  <c r="C46" i="1"/>
  <c r="F41" i="1" l="1"/>
  <c r="AP41" i="1" s="1"/>
  <c r="G40" i="1"/>
  <c r="J45" i="1"/>
  <c r="H45" i="1"/>
  <c r="I45" i="1"/>
  <c r="D46" i="1"/>
  <c r="C47" i="1"/>
  <c r="B46" i="1"/>
  <c r="E45" i="1"/>
  <c r="G41" i="1" l="1"/>
  <c r="F42" i="1"/>
  <c r="AP42" i="1" s="1"/>
  <c r="J46" i="1"/>
  <c r="H46" i="1"/>
  <c r="I46" i="1"/>
  <c r="D47" i="1"/>
  <c r="E46" i="1"/>
  <c r="B47" i="1"/>
  <c r="C48" i="1"/>
  <c r="G42" i="1" l="1"/>
  <c r="F43" i="1"/>
  <c r="AP43" i="1" s="1"/>
  <c r="G43" i="1"/>
  <c r="J47" i="1"/>
  <c r="H47" i="1"/>
  <c r="I47" i="1"/>
  <c r="D48" i="1"/>
  <c r="E47" i="1"/>
  <c r="B48" i="1"/>
  <c r="C49" i="1"/>
  <c r="F44" i="1" l="1"/>
  <c r="AP44" i="1" s="1"/>
  <c r="J48" i="1"/>
  <c r="H48" i="1"/>
  <c r="I48" i="1"/>
  <c r="D49" i="1"/>
  <c r="B49" i="1"/>
  <c r="B50" i="1"/>
  <c r="E51" i="1" s="1"/>
  <c r="E48" i="1"/>
  <c r="G44" i="1" l="1"/>
  <c r="F45" i="1"/>
  <c r="AP45" i="1" s="1"/>
  <c r="G45" i="1"/>
  <c r="J49" i="1"/>
  <c r="H49" i="1"/>
  <c r="I49" i="1"/>
  <c r="E49" i="1"/>
  <c r="C50" i="1"/>
  <c r="F46" i="1" l="1"/>
  <c r="AP46" i="1" s="1"/>
  <c r="G46" i="1"/>
  <c r="F47" i="1"/>
  <c r="AP47" i="1" s="1"/>
  <c r="D50" i="1"/>
  <c r="G47" i="1" l="1"/>
  <c r="F48" i="1"/>
  <c r="AP48" i="1" s="1"/>
  <c r="J50" i="1"/>
  <c r="H50" i="1"/>
  <c r="I50" i="1"/>
  <c r="E50" i="1"/>
  <c r="F49" i="1" l="1"/>
  <c r="G48" i="1"/>
  <c r="AP49" i="1" l="1"/>
  <c r="G49" i="1"/>
  <c r="F50" i="1"/>
  <c r="F51" i="1" l="1"/>
  <c r="G50" i="1"/>
  <c r="AP50" i="1"/>
  <c r="AP51" i="1" l="1"/>
  <c r="G51" i="1"/>
  <c r="F52" i="1"/>
  <c r="AP52" i="1" l="1"/>
  <c r="F53" i="1"/>
  <c r="G52" i="1"/>
  <c r="G53" i="1" l="1"/>
  <c r="AP53" i="1"/>
  <c r="F54" i="1"/>
  <c r="G54" i="1" l="1"/>
  <c r="F55" i="1"/>
  <c r="AP54" i="1"/>
  <c r="AP55" i="1" l="1"/>
  <c r="G55" i="1"/>
  <c r="F56" i="1"/>
  <c r="AP56" i="1" l="1"/>
  <c r="F57" i="1"/>
  <c r="G56" i="1"/>
  <c r="AP57" i="1" l="1"/>
  <c r="G57" i="1"/>
  <c r="F58" i="1"/>
  <c r="F59" i="1" l="1"/>
  <c r="G58" i="1"/>
  <c r="AP58" i="1"/>
  <c r="G59" i="1" l="1"/>
  <c r="AP59" i="1"/>
</calcChain>
</file>

<file path=xl/sharedStrings.xml><?xml version="1.0" encoding="utf-8"?>
<sst xmlns="http://schemas.openxmlformats.org/spreadsheetml/2006/main" count="65" uniqueCount="48">
  <si>
    <t>q</t>
  </si>
  <si>
    <t>m</t>
  </si>
  <si>
    <t>g</t>
  </si>
  <si>
    <t>E</t>
  </si>
  <si>
    <t>x</t>
  </si>
  <si>
    <t>WSEL</t>
  </si>
  <si>
    <t>(m)</t>
  </si>
  <si>
    <t>n</t>
  </si>
  <si>
    <t>Mean between two stations</t>
  </si>
  <si>
    <t>h</t>
  </si>
  <si>
    <t>hbar</t>
  </si>
  <si>
    <r>
      <t>S</t>
    </r>
    <r>
      <rPr>
        <i/>
        <vertAlign val="subscript"/>
        <sz val="10"/>
        <rFont val="Calibri"/>
        <family val="2"/>
        <scheme val="minor"/>
      </rPr>
      <t>f</t>
    </r>
  </si>
  <si>
    <r>
      <rPr>
        <sz val="10"/>
        <rFont val="Symbol"/>
        <family val="1"/>
        <charset val="2"/>
      </rPr>
      <t>D</t>
    </r>
    <r>
      <rPr>
        <i/>
        <sz val="10"/>
        <rFont val="Calibri"/>
        <family val="2"/>
        <scheme val="minor"/>
      </rPr>
      <t>x</t>
    </r>
  </si>
  <si>
    <r>
      <t>H</t>
    </r>
    <r>
      <rPr>
        <i/>
        <vertAlign val="subscript"/>
        <sz val="10"/>
        <rFont val="Calibri"/>
        <family val="2"/>
        <scheme val="minor"/>
      </rPr>
      <t>bw</t>
    </r>
  </si>
  <si>
    <r>
      <t>S</t>
    </r>
    <r>
      <rPr>
        <i/>
        <vertAlign val="subscript"/>
        <sz val="10"/>
        <rFont val="Calibri"/>
        <family val="2"/>
        <scheme val="minor"/>
      </rPr>
      <t>o</t>
    </r>
  </si>
  <si>
    <t>In one step …</t>
  </si>
  <si>
    <r>
      <t>h</t>
    </r>
    <r>
      <rPr>
        <i/>
        <vertAlign val="subscript"/>
        <sz val="10"/>
        <rFont val="Calibri"/>
        <family val="2"/>
        <scheme val="minor"/>
      </rPr>
      <t>c</t>
    </r>
  </si>
  <si>
    <r>
      <t>h</t>
    </r>
    <r>
      <rPr>
        <i/>
        <vertAlign val="subscript"/>
        <sz val="10"/>
        <rFont val="Calibri"/>
        <family val="2"/>
        <scheme val="minor"/>
      </rPr>
      <t>n</t>
    </r>
  </si>
  <si>
    <r>
      <t xml:space="preserve">Linear interpolation on log size scale for % finer than indicated </t>
    </r>
    <r>
      <rPr>
        <sz val="11"/>
        <color theme="1"/>
        <rFont val="Symbol"/>
        <family val="1"/>
        <charset val="2"/>
      </rPr>
      <t>¯¯</t>
    </r>
  </si>
  <si>
    <t>&lt; 8</t>
  </si>
  <si>
    <t>(mm)</t>
  </si>
  <si>
    <t>%ft</t>
  </si>
  <si>
    <t>Size</t>
  </si>
  <si>
    <t>Count</t>
  </si>
  <si>
    <t>Pebble count of terminal bar BL gage</t>
  </si>
  <si>
    <r>
      <t>k</t>
    </r>
    <r>
      <rPr>
        <i/>
        <vertAlign val="subscript"/>
        <sz val="11"/>
        <color theme="1"/>
        <rFont val="Calibri"/>
        <family val="2"/>
        <scheme val="minor"/>
      </rPr>
      <t>s</t>
    </r>
    <r>
      <rPr>
        <i/>
        <sz val="11"/>
        <color theme="1"/>
        <rFont val="Calibri"/>
        <family val="2"/>
        <scheme val="minor"/>
      </rPr>
      <t xml:space="preserve"> = </t>
    </r>
  </si>
  <si>
    <r>
      <t>D</t>
    </r>
    <r>
      <rPr>
        <vertAlign val="subscript"/>
        <sz val="11"/>
        <color theme="1"/>
        <rFont val="Calibri"/>
        <family val="2"/>
        <scheme val="minor"/>
      </rPr>
      <t>90</t>
    </r>
  </si>
  <si>
    <r>
      <rPr>
        <i/>
        <sz val="11"/>
        <color theme="1"/>
        <rFont val="Calibri"/>
        <family val="2"/>
        <scheme val="minor"/>
      </rPr>
      <t>n</t>
    </r>
    <r>
      <rPr>
        <i/>
        <vertAlign val="subscript"/>
        <sz val="11"/>
        <color theme="1"/>
        <rFont val="Calibri"/>
        <family val="2"/>
        <scheme val="minor"/>
      </rPr>
      <t>D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= </t>
    </r>
  </si>
  <si>
    <t>Q</t>
  </si>
  <si>
    <t>B</t>
  </si>
  <si>
    <r>
      <rPr>
        <i/>
        <sz val="10"/>
        <rFont val="Symbol"/>
        <family val="1"/>
        <charset val="2"/>
      </rPr>
      <t>t</t>
    </r>
    <r>
      <rPr>
        <i/>
        <sz val="10"/>
        <rFont val="Calibri"/>
        <family val="2"/>
        <scheme val="minor"/>
      </rPr>
      <t>*</t>
    </r>
    <r>
      <rPr>
        <i/>
        <vertAlign val="subscript"/>
        <sz val="10"/>
        <rFont val="Calibri"/>
        <family val="2"/>
        <scheme val="minor"/>
      </rPr>
      <t>50</t>
    </r>
  </si>
  <si>
    <r>
      <rPr>
        <i/>
        <sz val="10"/>
        <rFont val="Symbol"/>
        <family val="1"/>
        <charset val="2"/>
      </rPr>
      <t>t</t>
    </r>
    <r>
      <rPr>
        <i/>
        <sz val="10"/>
        <rFont val="Calibri"/>
        <family val="2"/>
        <scheme val="minor"/>
      </rPr>
      <t>*</t>
    </r>
    <r>
      <rPr>
        <i/>
        <vertAlign val="subscript"/>
        <sz val="10"/>
        <rFont val="Calibri"/>
        <family val="2"/>
        <scheme val="minor"/>
      </rPr>
      <t>90</t>
    </r>
  </si>
  <si>
    <t>cfs</t>
  </si>
  <si>
    <t>cms</t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</si>
  <si>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/s</t>
    </r>
  </si>
  <si>
    <r>
      <rPr>
        <i/>
        <sz val="10"/>
        <rFont val="Symbol"/>
        <family val="1"/>
        <charset val="2"/>
      </rPr>
      <t>t</t>
    </r>
    <r>
      <rPr>
        <i/>
        <sz val="10"/>
        <rFont val="Calibri"/>
        <family val="2"/>
        <scheme val="minor"/>
      </rPr>
      <t>*</t>
    </r>
    <r>
      <rPr>
        <i/>
        <vertAlign val="subscript"/>
        <sz val="10"/>
        <rFont val="Calibri"/>
        <family val="2"/>
        <scheme val="minor"/>
      </rPr>
      <t>??</t>
    </r>
  </si>
  <si>
    <r>
      <t xml:space="preserve">What </t>
    </r>
    <r>
      <rPr>
        <i/>
        <sz val="10"/>
        <rFont val="Calibri"/>
        <family val="2"/>
        <scheme val="minor"/>
      </rPr>
      <t>Q</t>
    </r>
    <r>
      <rPr>
        <sz val="10"/>
        <rFont val="Calibri"/>
        <family val="2"/>
        <scheme val="minor"/>
      </rPr>
      <t xml:space="preserve"> should I use?</t>
    </r>
  </si>
  <si>
    <r>
      <t xml:space="preserve">What </t>
    </r>
    <r>
      <rPr>
        <i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 xml:space="preserve"> should I use?</t>
    </r>
  </si>
  <si>
    <r>
      <t xml:space="preserve">What </t>
    </r>
    <r>
      <rPr>
        <i/>
        <sz val="10"/>
        <rFont val="Calibri"/>
        <family val="2"/>
        <scheme val="minor"/>
      </rPr>
      <t>n</t>
    </r>
    <r>
      <rPr>
        <sz val="10"/>
        <rFont val="Calibri"/>
        <family val="2"/>
        <scheme val="minor"/>
      </rPr>
      <t xml:space="preserve"> should I use?</t>
    </r>
  </si>
  <si>
    <r>
      <t xml:space="preserve">What </t>
    </r>
    <r>
      <rPr>
        <i/>
        <sz val="10"/>
        <rFont val="Calibri"/>
        <family val="2"/>
        <scheme val="minor"/>
      </rPr>
      <t>S</t>
    </r>
    <r>
      <rPr>
        <i/>
        <vertAlign val="sub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should I use?</t>
    </r>
  </si>
  <si>
    <t>More tomorrow</t>
  </si>
  <si>
    <r>
      <t xml:space="preserve">See Sheet </t>
    </r>
    <r>
      <rPr>
        <b/>
        <i/>
        <sz val="10"/>
        <rFont val="Calibri"/>
        <family val="2"/>
        <scheme val="minor"/>
      </rPr>
      <t>GSD</t>
    </r>
  </si>
  <si>
    <t>Flood Frequency plot</t>
  </si>
  <si>
    <t>See Profile</t>
  </si>
  <si>
    <t>Count cobble bar in depths 10 cm - 35 cm; did not count exposed crest, which is coarser</t>
  </si>
  <si>
    <r>
      <t>m/s</t>
    </r>
    <r>
      <rPr>
        <vertAlign val="superscript"/>
        <sz val="10"/>
        <rFont val="Calibri"/>
        <family val="2"/>
        <scheme val="minor"/>
      </rPr>
      <t>2</t>
    </r>
  </si>
  <si>
    <t>PRW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</si>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</sst>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&quot; mm&quot;"/>
    <numFmt numFmtId="167" formatCode="&quot;?? = &quot;0&quot; mm&quot;"/>
    <numFmt numFmtId="168" formatCode="0.0000"/>
  </numFmts>
  <fonts count="20">
    <font>
      <sz val="10"/>
      <name val="Arial"/>
    </font>
    <font>
      <sz val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bscript"/>
      <sz val="10"/>
      <name val="Calibri"/>
      <family val="2"/>
      <scheme val="minor"/>
    </font>
    <font>
      <i/>
      <sz val="10"/>
      <name val="Symbol"/>
      <family val="1"/>
      <charset val="2"/>
    </font>
    <font>
      <i/>
      <sz val="10"/>
      <name val="Calibri"/>
      <family val="1"/>
      <charset val="2"/>
      <scheme val="minor"/>
    </font>
    <font>
      <sz val="10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7030A0"/>
      </left>
      <right style="thin">
        <color indexed="64"/>
      </right>
      <top style="thick">
        <color rgb="FF7030A0"/>
      </top>
      <bottom/>
      <diagonal/>
    </border>
    <border>
      <left style="thin">
        <color indexed="64"/>
      </left>
      <right style="thin">
        <color indexed="64"/>
      </right>
      <top style="thick">
        <color rgb="FF7030A0"/>
      </top>
      <bottom/>
      <diagonal/>
    </border>
    <border>
      <left style="thin">
        <color indexed="64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indexed="64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 style="thick">
        <color rgb="FF7030A0"/>
      </bottom>
      <diagonal/>
    </border>
    <border>
      <left style="thin">
        <color indexed="64"/>
      </left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/>
      <top style="thick">
        <color rgb="FF7030A0"/>
      </top>
      <bottom/>
      <diagonal/>
    </border>
    <border>
      <left style="thin">
        <color indexed="64"/>
      </left>
      <right/>
      <top/>
      <bottom style="thick">
        <color rgb="FF7030A0"/>
      </bottom>
      <diagonal/>
    </border>
    <border>
      <left/>
      <right style="thin">
        <color indexed="64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n">
        <color indexed="64"/>
      </right>
      <top/>
      <bottom style="thick">
        <color rgb="FF7030A0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164" fontId="3" fillId="0" borderId="2" xfId="0" applyNumberFormat="1" applyFont="1" applyBorder="1"/>
    <xf numFmtId="164" fontId="3" fillId="0" borderId="7" xfId="0" applyNumberFormat="1" applyFont="1" applyBorder="1"/>
    <xf numFmtId="164" fontId="3" fillId="0" borderId="0" xfId="0" applyNumberFormat="1" applyFont="1"/>
    <xf numFmtId="2" fontId="3" fillId="0" borderId="0" xfId="0" applyNumberFormat="1" applyFont="1"/>
    <xf numFmtId="164" fontId="4" fillId="0" borderId="0" xfId="0" applyNumberFormat="1" applyFont="1"/>
    <xf numFmtId="0" fontId="6" fillId="0" borderId="0" xfId="0" applyFont="1"/>
    <xf numFmtId="0" fontId="11" fillId="0" borderId="0" xfId="1"/>
    <xf numFmtId="164" fontId="11" fillId="0" borderId="0" xfId="1" applyNumberFormat="1"/>
    <xf numFmtId="0" fontId="11" fillId="4" borderId="11" xfId="1" applyFill="1" applyBorder="1"/>
    <xf numFmtId="166" fontId="11" fillId="4" borderId="11" xfId="1" applyNumberFormat="1" applyFill="1" applyBorder="1"/>
    <xf numFmtId="165" fontId="11" fillId="0" borderId="10" xfId="1" applyNumberFormat="1" applyBorder="1"/>
    <xf numFmtId="0" fontId="11" fillId="0" borderId="10" xfId="1" applyBorder="1"/>
    <xf numFmtId="1" fontId="11" fillId="0" borderId="10" xfId="1" applyNumberFormat="1" applyBorder="1"/>
    <xf numFmtId="0" fontId="11" fillId="4" borderId="12" xfId="1" applyFill="1" applyBorder="1"/>
    <xf numFmtId="166" fontId="11" fillId="4" borderId="12" xfId="1" applyNumberFormat="1" applyFill="1" applyBorder="1"/>
    <xf numFmtId="0" fontId="11" fillId="0" borderId="0" xfId="1" applyAlignment="1">
      <alignment horizontal="right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165" fontId="11" fillId="0" borderId="9" xfId="1" applyNumberFormat="1" applyBorder="1"/>
    <xf numFmtId="0" fontId="13" fillId="0" borderId="10" xfId="1" applyFont="1" applyBorder="1" applyAlignment="1">
      <alignment horizontal="center"/>
    </xf>
    <xf numFmtId="165" fontId="11" fillId="0" borderId="13" xfId="1" applyNumberFormat="1" applyBorder="1"/>
    <xf numFmtId="165" fontId="11" fillId="0" borderId="14" xfId="1" applyNumberFormat="1" applyBorder="1"/>
    <xf numFmtId="0" fontId="11" fillId="0" borderId="15" xfId="1" applyBorder="1"/>
    <xf numFmtId="0" fontId="13" fillId="0" borderId="0" xfId="1" applyFont="1" applyBorder="1" applyAlignment="1">
      <alignment horizontal="center"/>
    </xf>
    <xf numFmtId="0" fontId="11" fillId="0" borderId="16" xfId="1" applyBorder="1" applyAlignment="1">
      <alignment horizontal="center"/>
    </xf>
    <xf numFmtId="0" fontId="11" fillId="0" borderId="17" xfId="1" applyBorder="1" applyAlignment="1">
      <alignment horizontal="center"/>
    </xf>
    <xf numFmtId="0" fontId="11" fillId="0" borderId="0" xfId="1" applyAlignment="1">
      <alignment horizontal="center"/>
    </xf>
    <xf numFmtId="0" fontId="14" fillId="0" borderId="0" xfId="1" applyFont="1" applyAlignment="1">
      <alignment horizontal="right"/>
    </xf>
    <xf numFmtId="0" fontId="11" fillId="0" borderId="0" xfId="1" applyAlignment="1">
      <alignment horizontal="left"/>
    </xf>
    <xf numFmtId="2" fontId="11" fillId="0" borderId="0" xfId="1" applyNumberFormat="1" applyAlignment="1">
      <alignment horizontal="center"/>
    </xf>
    <xf numFmtId="164" fontId="11" fillId="0" borderId="0" xfId="1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10" xfId="0" applyNumberFormat="1" applyFont="1" applyFill="1" applyBorder="1"/>
    <xf numFmtId="0" fontId="3" fillId="5" borderId="10" xfId="0" applyFont="1" applyFill="1" applyBorder="1"/>
    <xf numFmtId="164" fontId="3" fillId="5" borderId="10" xfId="0" applyNumberFormat="1" applyFont="1" applyFill="1" applyBorder="1"/>
    <xf numFmtId="0" fontId="3" fillId="5" borderId="10" xfId="0" applyFont="1" applyFill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4" fontId="3" fillId="0" borderId="27" xfId="0" applyNumberFormat="1" applyFont="1" applyBorder="1"/>
    <xf numFmtId="164" fontId="3" fillId="0" borderId="0" xfId="0" applyNumberFormat="1" applyFont="1" applyBorder="1"/>
    <xf numFmtId="164" fontId="3" fillId="0" borderId="28" xfId="0" applyNumberFormat="1" applyFont="1" applyBorder="1"/>
    <xf numFmtId="164" fontId="5" fillId="0" borderId="27" xfId="0" applyNumberFormat="1" applyFont="1" applyBorder="1"/>
    <xf numFmtId="164" fontId="5" fillId="0" borderId="0" xfId="0" applyNumberFormat="1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164" fontId="3" fillId="0" borderId="3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24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167" fontId="3" fillId="8" borderId="23" xfId="0" applyNumberFormat="1" applyFont="1" applyFill="1" applyBorder="1" applyAlignment="1">
      <alignment horizontal="center"/>
    </xf>
    <xf numFmtId="168" fontId="3" fillId="0" borderId="28" xfId="0" applyNumberFormat="1" applyFont="1" applyBorder="1"/>
    <xf numFmtId="168" fontId="5" fillId="0" borderId="28" xfId="0" applyNumberFormat="1" applyFont="1" applyBorder="1"/>
    <xf numFmtId="168" fontId="3" fillId="0" borderId="31" xfId="0" applyNumberFormat="1" applyFont="1" applyBorder="1"/>
    <xf numFmtId="0" fontId="3" fillId="8" borderId="24" xfId="0" applyFont="1" applyFill="1" applyBorder="1" applyAlignment="1">
      <alignment horizontal="center"/>
    </xf>
    <xf numFmtId="0" fontId="2" fillId="9" borderId="33" xfId="0" applyFont="1" applyFill="1" applyBorder="1" applyAlignment="1"/>
    <xf numFmtId="0" fontId="2" fillId="9" borderId="32" xfId="0" applyFont="1" applyFill="1" applyBorder="1" applyAlignment="1"/>
    <xf numFmtId="0" fontId="3" fillId="9" borderId="29" xfId="0" applyFont="1" applyFill="1" applyBorder="1"/>
    <xf numFmtId="0" fontId="3" fillId="9" borderId="31" xfId="0" applyFont="1" applyFill="1" applyBorder="1"/>
    <xf numFmtId="0" fontId="3" fillId="6" borderId="31" xfId="0" applyFont="1" applyFill="1" applyBorder="1"/>
    <xf numFmtId="0" fontId="6" fillId="8" borderId="20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3" fillId="0" borderId="28" xfId="0" applyFont="1" applyBorder="1"/>
    <xf numFmtId="164" fontId="3" fillId="2" borderId="35" xfId="0" applyNumberFormat="1" applyFont="1" applyFill="1" applyBorder="1"/>
    <xf numFmtId="164" fontId="3" fillId="7" borderId="35" xfId="0" applyNumberFormat="1" applyFont="1" applyFill="1" applyBorder="1"/>
    <xf numFmtId="164" fontId="3" fillId="3" borderId="35" xfId="0" applyNumberFormat="1" applyFont="1" applyFill="1" applyBorder="1"/>
    <xf numFmtId="2" fontId="5" fillId="0" borderId="0" xfId="0" applyNumberFormat="1" applyFont="1" applyBorder="1"/>
    <xf numFmtId="164" fontId="3" fillId="3" borderId="36" xfId="0" applyNumberFormat="1" applyFont="1" applyFill="1" applyBorder="1"/>
    <xf numFmtId="2" fontId="3" fillId="0" borderId="30" xfId="0" applyNumberFormat="1" applyFont="1" applyBorder="1"/>
    <xf numFmtId="16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8" fontId="18" fillId="0" borderId="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5" fontId="11" fillId="0" borderId="0" xfId="1" applyNumberFormat="1"/>
    <xf numFmtId="1" fontId="11" fillId="0" borderId="37" xfId="1" applyNumberFormat="1" applyBorder="1"/>
    <xf numFmtId="0" fontId="11" fillId="0" borderId="38" xfId="1" applyBorder="1"/>
    <xf numFmtId="1" fontId="11" fillId="0" borderId="38" xfId="1" applyNumberFormat="1" applyBorder="1"/>
    <xf numFmtId="0" fontId="11" fillId="0" borderId="39" xfId="1" applyBorder="1"/>
    <xf numFmtId="0" fontId="11" fillId="0" borderId="7" xfId="1" applyBorder="1" applyAlignment="1">
      <alignment horizontal="right"/>
    </xf>
    <xf numFmtId="0" fontId="11" fillId="0" borderId="40" xfId="1" applyBorder="1" applyAlignment="1">
      <alignment horizontal="center"/>
    </xf>
    <xf numFmtId="0" fontId="11" fillId="0" borderId="41" xfId="1" applyBorder="1" applyAlignment="1">
      <alignment horizontal="center"/>
    </xf>
    <xf numFmtId="0" fontId="11" fillId="0" borderId="13" xfId="1" applyBorder="1"/>
    <xf numFmtId="0" fontId="11" fillId="0" borderId="40" xfId="1" applyBorder="1"/>
    <xf numFmtId="165" fontId="11" fillId="0" borderId="42" xfId="1" applyNumberFormat="1" applyBorder="1"/>
    <xf numFmtId="165" fontId="11" fillId="0" borderId="41" xfId="1" applyNumberFormat="1" applyBorder="1"/>
    <xf numFmtId="0" fontId="11" fillId="0" borderId="15" xfId="1" applyBorder="1" applyAlignment="1">
      <alignment horizontal="center"/>
    </xf>
  </cellXfs>
  <cellStyles count="2">
    <cellStyle name="Normal" xfId="0" builtinId="0"/>
    <cellStyle name="Normal 2" xfId="1" xr:uid="{D84186FB-C1B9-4DED-91CC-53B7C98DEB68}"/>
  </cellStyles>
  <dxfs count="0"/>
  <tableStyles count="0" defaultTableStyle="TableStyleMedium9" defaultPivotStyle="PivotStyleLight16"/>
  <colors>
    <mruColors>
      <color rgb="FF00FF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8642314880707"/>
          <c:y val="2.545553009576797E-2"/>
          <c:w val="0.8253704109548563"/>
          <c:h val="0.79979410780474469"/>
        </c:manualLayout>
      </c:layout>
      <c:scatterChart>
        <c:scatterStyle val="lineMarker"/>
        <c:varyColors val="0"/>
        <c:ser>
          <c:idx val="0"/>
          <c:order val="0"/>
          <c:tx>
            <c:v>WSEL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9"/>
            <c:marker>
              <c:symbol val="circle"/>
              <c:size val="3"/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97E-4D7F-81B7-4EF704B87492}"/>
              </c:ext>
            </c:extLst>
          </c:dPt>
          <c:xVal>
            <c:numRef>
              <c:f>'Direct step'!$F$19:$F$59</c:f>
              <c:numCache>
                <c:formatCode>0.00</c:formatCode>
                <c:ptCount val="41"/>
                <c:pt idx="0">
                  <c:v>0</c:v>
                </c:pt>
                <c:pt idx="1">
                  <c:v>3.0921407440836473E-3</c:v>
                </c:pt>
                <c:pt idx="2">
                  <c:v>1.2782156005718142E-2</c:v>
                </c:pt>
                <c:pt idx="3">
                  <c:v>2.9670267708683022E-2</c:v>
                </c:pt>
                <c:pt idx="4">
                  <c:v>5.444032209012227E-2</c:v>
                </c:pt>
                <c:pt idx="5">
                  <c:v>8.7876107896951827E-2</c:v>
                </c:pt>
                <c:pt idx="6">
                  <c:v>0.13088185872234223</c:v>
                </c:pt>
                <c:pt idx="7">
                  <c:v>0.18450829650087111</c:v>
                </c:pt>
                <c:pt idx="8">
                  <c:v>0.24998611598801881</c:v>
                </c:pt>
                <c:pt idx="9">
                  <c:v>0.32876961603702315</c:v>
                </c:pt>
                <c:pt idx="10">
                  <c:v>0.42259440546567273</c:v>
                </c:pt>
                <c:pt idx="11">
                  <c:v>0.53355500748130202</c:v>
                </c:pt>
                <c:pt idx="12">
                  <c:v>0.66421120646822807</c:v>
                </c:pt>
                <c:pt idx="13">
                  <c:v>0.81773693347075105</c:v>
                </c:pt>
                <c:pt idx="14">
                  <c:v>0.99813388447606921</c:v>
                </c:pt>
                <c:pt idx="15">
                  <c:v>1.2105468616657087</c:v>
                </c:pt>
                <c:pt idx="16">
                  <c:v>1.4617450837242425</c:v>
                </c:pt>
                <c:pt idx="17">
                  <c:v>1.7608866198320714</c:v>
                </c:pt>
                <c:pt idx="18">
                  <c:v>2.1207924462899594</c:v>
                </c:pt>
                <c:pt idx="19">
                  <c:v>2.560200546668534</c:v>
                </c:pt>
                <c:pt idx="20">
                  <c:v>3.108069193871227</c:v>
                </c:pt>
                <c:pt idx="21">
                  <c:v>3.2676432025098365</c:v>
                </c:pt>
                <c:pt idx="22">
                  <c:v>3.4379705806694751</c:v>
                </c:pt>
                <c:pt idx="23">
                  <c:v>3.6202812191461313</c:v>
                </c:pt>
                <c:pt idx="24">
                  <c:v>3.8160286230614271</c:v>
                </c:pt>
                <c:pt idx="25">
                  <c:v>4.0269476187914206</c:v>
                </c:pt>
                <c:pt idx="26">
                  <c:v>4.255131959834455</c:v>
                </c:pt>
                <c:pt idx="27">
                  <c:v>4.5031406755959553</c:v>
                </c:pt>
                <c:pt idx="28">
                  <c:v>4.7741469596842325</c:v>
                </c:pt>
                <c:pt idx="29">
                  <c:v>5.0721517922494073</c:v>
                </c:pt>
                <c:pt idx="30">
                  <c:v>5.4022992872455138</c:v>
                </c:pt>
                <c:pt idx="31">
                  <c:v>5.7713580119357921</c:v>
                </c:pt>
                <c:pt idx="32">
                  <c:v>6.1884854355189729</c:v>
                </c:pt>
                <c:pt idx="33">
                  <c:v>6.6665020101703814</c:v>
                </c:pt>
                <c:pt idx="34">
                  <c:v>7.224145314428104</c:v>
                </c:pt>
                <c:pt idx="35">
                  <c:v>7.8903734178335023</c:v>
                </c:pt>
                <c:pt idx="36">
                  <c:v>8.7134497618397262</c:v>
                </c:pt>
                <c:pt idx="37">
                  <c:v>9.7830064420254388</c:v>
                </c:pt>
                <c:pt idx="38">
                  <c:v>11.2962340547206</c:v>
                </c:pt>
                <c:pt idx="39">
                  <c:v>13.844704365742714</c:v>
                </c:pt>
                <c:pt idx="40">
                  <c:v>21.569419666443682</c:v>
                </c:pt>
              </c:numCache>
            </c:numRef>
          </c:xVal>
          <c:yVal>
            <c:numRef>
              <c:f>'Direct step'!$G$19:$G$59</c:f>
              <c:numCache>
                <c:formatCode>0.00</c:formatCode>
                <c:ptCount val="41"/>
                <c:pt idx="0">
                  <c:v>0.5499101513709922</c:v>
                </c:pt>
                <c:pt idx="1">
                  <c:v>0.55222476580282209</c:v>
                </c:pt>
                <c:pt idx="2">
                  <c:v>0.55461855472886257</c:v>
                </c:pt>
                <c:pt idx="3">
                  <c:v>0.55709872081219902</c:v>
                </c:pt>
                <c:pt idx="4">
                  <c:v>0.55967347020767721</c:v>
                </c:pt>
                <c:pt idx="5">
                  <c:v>0.56235220838026012</c:v>
                </c:pt>
                <c:pt idx="6">
                  <c:v>0.56514578613306565</c:v>
                </c:pt>
                <c:pt idx="7">
                  <c:v>0.56806681212930887</c:v>
                </c:pt>
                <c:pt idx="8">
                  <c:v>0.5711300547060556</c:v>
                </c:pt>
                <c:pt idx="9">
                  <c:v>0.57435296544954451</c:v>
                </c:pt>
                <c:pt idx="10">
                  <c:v>0.57775637166558913</c:v>
                </c:pt>
                <c:pt idx="11">
                  <c:v>0.58136540763267763</c:v>
                </c:pt>
                <c:pt idx="12">
                  <c:v>0.58521079076342164</c:v>
                </c:pt>
                <c:pt idx="13">
                  <c:v>0.58933060823035277</c:v>
                </c:pt>
                <c:pt idx="14">
                  <c:v>0.5937728803853175</c:v>
                </c:pt>
                <c:pt idx="15">
                  <c:v>0.59859934485449406</c:v>
                </c:pt>
                <c:pt idx="16">
                  <c:v>0.6038912322620974</c:v>
                </c:pt>
                <c:pt idx="17">
                  <c:v>0.60975843943829222</c:v>
                </c:pt>
                <c:pt idx="18">
                  <c:v>0.61635481809868775</c:v>
                </c:pt>
                <c:pt idx="19">
                  <c:v>0.62390522404613158</c:v>
                </c:pt>
                <c:pt idx="20">
                  <c:v>0.63275715655546472</c:v>
                </c:pt>
                <c:pt idx="21">
                  <c:v>0.63524142184485333</c:v>
                </c:pt>
                <c:pt idx="22">
                  <c:v>0.63785472756849426</c:v>
                </c:pt>
                <c:pt idx="23">
                  <c:v>0.64061183241593933</c:v>
                </c:pt>
                <c:pt idx="24">
                  <c:v>0.64353017844864813</c:v>
                </c:pt>
                <c:pt idx="25">
                  <c:v>0.6466305835831333</c:v>
                </c:pt>
                <c:pt idx="26">
                  <c:v>0.64993817286137501</c:v>
                </c:pt>
                <c:pt idx="27">
                  <c:v>0.65348365463623825</c:v>
                </c:pt>
                <c:pt idx="28">
                  <c:v>0.65730510723102276</c:v>
                </c:pt>
                <c:pt idx="29">
                  <c:v>0.66145054240753021</c:v>
                </c:pt>
                <c:pt idx="30">
                  <c:v>0.66598168953320869</c:v>
                </c:pt>
                <c:pt idx="31">
                  <c:v>0.67097977141521725</c:v>
                </c:pt>
                <c:pt idx="32">
                  <c:v>0.67655467768394073</c:v>
                </c:pt>
                <c:pt idx="33">
                  <c:v>0.68286025376548287</c:v>
                </c:pt>
                <c:pt idx="34">
                  <c:v>0.69012135060230073</c:v>
                </c:pt>
                <c:pt idx="35">
                  <c:v>0.69868546502889084</c:v>
                </c:pt>
                <c:pt idx="36">
                  <c:v>0.70913175834269071</c:v>
                </c:pt>
                <c:pt idx="37">
                  <c:v>0.72253581569064451</c:v>
                </c:pt>
                <c:pt idx="38">
                  <c:v>0.74126392422871179</c:v>
                </c:pt>
                <c:pt idx="39">
                  <c:v>0.77241494514670239</c:v>
                </c:pt>
                <c:pt idx="40">
                  <c:v>0.86568090594083924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4F-470E-B009-8A247CD87C13}"/>
            </c:ext>
          </c:extLst>
        </c:ser>
        <c:ser>
          <c:idx val="1"/>
          <c:order val="1"/>
          <c:tx>
            <c:v>Bed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39"/>
            <c:marker>
              <c:symbol val="circle"/>
              <c:size val="3"/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97E-4D7F-81B7-4EF704B87492}"/>
              </c:ext>
            </c:extLst>
          </c:dPt>
          <c:xVal>
            <c:numRef>
              <c:f>'Direct step'!$F$19:$F$59</c:f>
              <c:numCache>
                <c:formatCode>0.00</c:formatCode>
                <c:ptCount val="41"/>
                <c:pt idx="0">
                  <c:v>0</c:v>
                </c:pt>
                <c:pt idx="1">
                  <c:v>3.0921407440836473E-3</c:v>
                </c:pt>
                <c:pt idx="2">
                  <c:v>1.2782156005718142E-2</c:v>
                </c:pt>
                <c:pt idx="3">
                  <c:v>2.9670267708683022E-2</c:v>
                </c:pt>
                <c:pt idx="4">
                  <c:v>5.444032209012227E-2</c:v>
                </c:pt>
                <c:pt idx="5">
                  <c:v>8.7876107896951827E-2</c:v>
                </c:pt>
                <c:pt idx="6">
                  <c:v>0.13088185872234223</c:v>
                </c:pt>
                <c:pt idx="7">
                  <c:v>0.18450829650087111</c:v>
                </c:pt>
                <c:pt idx="8">
                  <c:v>0.24998611598801881</c:v>
                </c:pt>
                <c:pt idx="9">
                  <c:v>0.32876961603702315</c:v>
                </c:pt>
                <c:pt idx="10">
                  <c:v>0.42259440546567273</c:v>
                </c:pt>
                <c:pt idx="11">
                  <c:v>0.53355500748130202</c:v>
                </c:pt>
                <c:pt idx="12">
                  <c:v>0.66421120646822807</c:v>
                </c:pt>
                <c:pt idx="13">
                  <c:v>0.81773693347075105</c:v>
                </c:pt>
                <c:pt idx="14">
                  <c:v>0.99813388447606921</c:v>
                </c:pt>
                <c:pt idx="15">
                  <c:v>1.2105468616657087</c:v>
                </c:pt>
                <c:pt idx="16">
                  <c:v>1.4617450837242425</c:v>
                </c:pt>
                <c:pt idx="17">
                  <c:v>1.7608866198320714</c:v>
                </c:pt>
                <c:pt idx="18">
                  <c:v>2.1207924462899594</c:v>
                </c:pt>
                <c:pt idx="19">
                  <c:v>2.560200546668534</c:v>
                </c:pt>
                <c:pt idx="20">
                  <c:v>3.108069193871227</c:v>
                </c:pt>
                <c:pt idx="21">
                  <c:v>3.2676432025098365</c:v>
                </c:pt>
                <c:pt idx="22">
                  <c:v>3.4379705806694751</c:v>
                </c:pt>
                <c:pt idx="23">
                  <c:v>3.6202812191461313</c:v>
                </c:pt>
                <c:pt idx="24">
                  <c:v>3.8160286230614271</c:v>
                </c:pt>
                <c:pt idx="25">
                  <c:v>4.0269476187914206</c:v>
                </c:pt>
                <c:pt idx="26">
                  <c:v>4.255131959834455</c:v>
                </c:pt>
                <c:pt idx="27">
                  <c:v>4.5031406755959553</c:v>
                </c:pt>
                <c:pt idx="28">
                  <c:v>4.7741469596842325</c:v>
                </c:pt>
                <c:pt idx="29">
                  <c:v>5.0721517922494073</c:v>
                </c:pt>
                <c:pt idx="30">
                  <c:v>5.4022992872455138</c:v>
                </c:pt>
                <c:pt idx="31">
                  <c:v>5.7713580119357921</c:v>
                </c:pt>
                <c:pt idx="32">
                  <c:v>6.1884854355189729</c:v>
                </c:pt>
                <c:pt idx="33">
                  <c:v>6.6665020101703814</c:v>
                </c:pt>
                <c:pt idx="34">
                  <c:v>7.224145314428104</c:v>
                </c:pt>
                <c:pt idx="35">
                  <c:v>7.8903734178335023</c:v>
                </c:pt>
                <c:pt idx="36">
                  <c:v>8.7134497618397262</c:v>
                </c:pt>
                <c:pt idx="37">
                  <c:v>9.7830064420254388</c:v>
                </c:pt>
                <c:pt idx="38">
                  <c:v>11.2962340547206</c:v>
                </c:pt>
                <c:pt idx="39">
                  <c:v>13.844704365742714</c:v>
                </c:pt>
                <c:pt idx="40">
                  <c:v>21.569419666443682</c:v>
                </c:pt>
              </c:numCache>
            </c:numRef>
          </c:xVal>
          <c:yVal>
            <c:numRef>
              <c:f>'Direct step'!$AP$19:$AP$59</c:f>
              <c:numCache>
                <c:formatCode>0.000</c:formatCode>
                <c:ptCount val="41"/>
                <c:pt idx="0">
                  <c:v>0</c:v>
                </c:pt>
                <c:pt idx="1">
                  <c:v>3.7105688929003768E-5</c:v>
                </c:pt>
                <c:pt idx="2">
                  <c:v>1.533858720686177E-4</c:v>
                </c:pt>
                <c:pt idx="3">
                  <c:v>3.5604321250419627E-4</c:v>
                </c:pt>
                <c:pt idx="4">
                  <c:v>6.5328386508146723E-4</c:v>
                </c:pt>
                <c:pt idx="5">
                  <c:v>1.054513294763422E-3</c:v>
                </c:pt>
                <c:pt idx="6">
                  <c:v>1.5705823046681068E-3</c:v>
                </c:pt>
                <c:pt idx="7">
                  <c:v>2.2140995580104536E-3</c:v>
                </c:pt>
                <c:pt idx="8">
                  <c:v>2.9998333918562258E-3</c:v>
                </c:pt>
                <c:pt idx="9">
                  <c:v>3.9452353924442777E-3</c:v>
                </c:pt>
                <c:pt idx="10">
                  <c:v>5.0711328655880725E-3</c:v>
                </c:pt>
                <c:pt idx="11">
                  <c:v>6.4026600897756246E-3</c:v>
                </c:pt>
                <c:pt idx="12">
                  <c:v>7.9705344776187376E-3</c:v>
                </c:pt>
                <c:pt idx="13">
                  <c:v>9.8128432016490134E-3</c:v>
                </c:pt>
                <c:pt idx="14">
                  <c:v>1.1977606613712831E-2</c:v>
                </c:pt>
                <c:pt idx="15">
                  <c:v>1.4526562339988504E-2</c:v>
                </c:pt>
                <c:pt idx="16">
                  <c:v>1.7540941004690912E-2</c:v>
                </c:pt>
                <c:pt idx="17">
                  <c:v>2.1130639437984856E-2</c:v>
                </c:pt>
                <c:pt idx="18">
                  <c:v>2.5449509355479513E-2</c:v>
                </c:pt>
                <c:pt idx="19">
                  <c:v>3.0722406560022408E-2</c:v>
                </c:pt>
                <c:pt idx="20">
                  <c:v>3.7296830326454727E-2</c:v>
                </c:pt>
                <c:pt idx="21">
                  <c:v>3.9211718430118038E-2</c:v>
                </c:pt>
                <c:pt idx="22">
                  <c:v>4.1255646968033702E-2</c:v>
                </c:pt>
                <c:pt idx="23">
                  <c:v>4.3443374629753576E-2</c:v>
                </c:pt>
                <c:pt idx="24">
                  <c:v>4.5792343476737128E-2</c:v>
                </c:pt>
                <c:pt idx="25">
                  <c:v>4.8323371425497051E-2</c:v>
                </c:pt>
                <c:pt idx="26">
                  <c:v>5.1061583518013459E-2</c:v>
                </c:pt>
                <c:pt idx="27">
                  <c:v>5.4037688107151462E-2</c:v>
                </c:pt>
                <c:pt idx="28">
                  <c:v>5.728976351621079E-2</c:v>
                </c:pt>
                <c:pt idx="29">
                  <c:v>6.0865821506992886E-2</c:v>
                </c:pt>
                <c:pt idx="30">
                  <c:v>6.4827591446946164E-2</c:v>
                </c:pt>
                <c:pt idx="31">
                  <c:v>6.9256296143229507E-2</c:v>
                </c:pt>
                <c:pt idx="32">
                  <c:v>7.4261825226227679E-2</c:v>
                </c:pt>
                <c:pt idx="33">
                  <c:v>7.9998024122044584E-2</c:v>
                </c:pt>
                <c:pt idx="34">
                  <c:v>8.6689743773137248E-2</c:v>
                </c:pt>
                <c:pt idx="35">
                  <c:v>9.4684481014002037E-2</c:v>
                </c:pt>
                <c:pt idx="36">
                  <c:v>0.10456139714207671</c:v>
                </c:pt>
                <c:pt idx="37">
                  <c:v>0.11739607730430526</c:v>
                </c:pt>
                <c:pt idx="38">
                  <c:v>0.13555480865664721</c:v>
                </c:pt>
                <c:pt idx="39">
                  <c:v>0.16613645238891259</c:v>
                </c:pt>
                <c:pt idx="40">
                  <c:v>0.25883303599732421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4F-470E-B009-8A247CD8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449992"/>
        <c:axId val="306730648"/>
      </c:scatterChart>
      <c:valAx>
        <c:axId val="306449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730648"/>
        <c:crosses val="autoZero"/>
        <c:crossBetween val="midCat"/>
      </c:valAx>
      <c:valAx>
        <c:axId val="3067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449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890606570254344"/>
          <c:y val="9.0934082117540786E-3"/>
          <c:w val="0.32120701726737633"/>
          <c:h val="0.1013930950938825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8642314880707"/>
          <c:y val="2.545553009576797E-2"/>
          <c:w val="0.8253704109548563"/>
          <c:h val="0.799794107804744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'Direct step'!$H$17</c:f>
              <c:strCache>
                <c:ptCount val="1"/>
                <c:pt idx="0">
                  <c:v>t*50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9"/>
            <c:marker>
              <c:symbol val="circle"/>
              <c:size val="3"/>
              <c:spPr>
                <a:solidFill>
                  <a:srgbClr val="00B0F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980-485E-B9B2-71AC8D662D29}"/>
              </c:ext>
            </c:extLst>
          </c:dPt>
          <c:xVal>
            <c:numRef>
              <c:f>'Direct step'!$F$19:$F$59</c:f>
              <c:numCache>
                <c:formatCode>0.00</c:formatCode>
                <c:ptCount val="41"/>
                <c:pt idx="0">
                  <c:v>0</c:v>
                </c:pt>
                <c:pt idx="1">
                  <c:v>3.0921407440836473E-3</c:v>
                </c:pt>
                <c:pt idx="2">
                  <c:v>1.2782156005718142E-2</c:v>
                </c:pt>
                <c:pt idx="3">
                  <c:v>2.9670267708683022E-2</c:v>
                </c:pt>
                <c:pt idx="4">
                  <c:v>5.444032209012227E-2</c:v>
                </c:pt>
                <c:pt idx="5">
                  <c:v>8.7876107896951827E-2</c:v>
                </c:pt>
                <c:pt idx="6">
                  <c:v>0.13088185872234223</c:v>
                </c:pt>
                <c:pt idx="7">
                  <c:v>0.18450829650087111</c:v>
                </c:pt>
                <c:pt idx="8">
                  <c:v>0.24998611598801881</c:v>
                </c:pt>
                <c:pt idx="9">
                  <c:v>0.32876961603702315</c:v>
                </c:pt>
                <c:pt idx="10">
                  <c:v>0.42259440546567273</c:v>
                </c:pt>
                <c:pt idx="11">
                  <c:v>0.53355500748130202</c:v>
                </c:pt>
                <c:pt idx="12">
                  <c:v>0.66421120646822807</c:v>
                </c:pt>
                <c:pt idx="13">
                  <c:v>0.81773693347075105</c:v>
                </c:pt>
                <c:pt idx="14">
                  <c:v>0.99813388447606921</c:v>
                </c:pt>
                <c:pt idx="15">
                  <c:v>1.2105468616657087</c:v>
                </c:pt>
                <c:pt idx="16">
                  <c:v>1.4617450837242425</c:v>
                </c:pt>
                <c:pt idx="17">
                  <c:v>1.7608866198320714</c:v>
                </c:pt>
                <c:pt idx="18">
                  <c:v>2.1207924462899594</c:v>
                </c:pt>
                <c:pt idx="19">
                  <c:v>2.560200546668534</c:v>
                </c:pt>
                <c:pt idx="20">
                  <c:v>3.108069193871227</c:v>
                </c:pt>
                <c:pt idx="21">
                  <c:v>3.2676432025098365</c:v>
                </c:pt>
                <c:pt idx="22">
                  <c:v>3.4379705806694751</c:v>
                </c:pt>
                <c:pt idx="23">
                  <c:v>3.6202812191461313</c:v>
                </c:pt>
                <c:pt idx="24">
                  <c:v>3.8160286230614271</c:v>
                </c:pt>
                <c:pt idx="25">
                  <c:v>4.0269476187914206</c:v>
                </c:pt>
                <c:pt idx="26">
                  <c:v>4.255131959834455</c:v>
                </c:pt>
                <c:pt idx="27">
                  <c:v>4.5031406755959553</c:v>
                </c:pt>
                <c:pt idx="28">
                  <c:v>4.7741469596842325</c:v>
                </c:pt>
                <c:pt idx="29">
                  <c:v>5.0721517922494073</c:v>
                </c:pt>
                <c:pt idx="30">
                  <c:v>5.4022992872455138</c:v>
                </c:pt>
                <c:pt idx="31">
                  <c:v>5.7713580119357921</c:v>
                </c:pt>
                <c:pt idx="32">
                  <c:v>6.1884854355189729</c:v>
                </c:pt>
                <c:pt idx="33">
                  <c:v>6.6665020101703814</c:v>
                </c:pt>
                <c:pt idx="34">
                  <c:v>7.224145314428104</c:v>
                </c:pt>
                <c:pt idx="35">
                  <c:v>7.8903734178335023</c:v>
                </c:pt>
                <c:pt idx="36">
                  <c:v>8.7134497618397262</c:v>
                </c:pt>
                <c:pt idx="37">
                  <c:v>9.7830064420254388</c:v>
                </c:pt>
                <c:pt idx="38">
                  <c:v>11.2962340547206</c:v>
                </c:pt>
                <c:pt idx="39">
                  <c:v>13.844704365742714</c:v>
                </c:pt>
                <c:pt idx="40">
                  <c:v>21.569419666443682</c:v>
                </c:pt>
              </c:numCache>
            </c:numRef>
          </c:xVal>
          <c:yVal>
            <c:numRef>
              <c:f>'Direct step'!$H$19:$H$59</c:f>
              <c:numCache>
                <c:formatCode>0.000</c:formatCode>
                <c:ptCount val="41"/>
                <c:pt idx="1">
                  <c:v>4.9670058487517314E-2</c:v>
                </c:pt>
                <c:pt idx="2">
                  <c:v>4.9194332033269922E-2</c:v>
                </c:pt>
                <c:pt idx="3">
                  <c:v>4.8725088072209204E-2</c:v>
                </c:pt>
                <c:pt idx="4">
                  <c:v>4.8262212238150831E-2</c:v>
                </c:pt>
                <c:pt idx="5">
                  <c:v>4.7805592638140569E-2</c:v>
                </c:pt>
                <c:pt idx="6">
                  <c:v>4.7355119789197125E-2</c:v>
                </c:pt>
                <c:pt idx="7">
                  <c:v>4.6910686556921488E-2</c:v>
                </c:pt>
                <c:pt idx="8">
                  <c:v>4.647218809590932E-2</c:v>
                </c:pt>
                <c:pt idx="9">
                  <c:v>4.6039521791907276E-2</c:v>
                </c:pt>
                <c:pt idx="10">
                  <c:v>4.5612587205654836E-2</c:v>
                </c:pt>
                <c:pt idx="11">
                  <c:v>4.5191286018356605E-2</c:v>
                </c:pt>
                <c:pt idx="12">
                  <c:v>4.4775521978730908E-2</c:v>
                </c:pt>
                <c:pt idx="13">
                  <c:v>4.4365200851583901E-2</c:v>
                </c:pt>
                <c:pt idx="14">
                  <c:v>4.3960230367858392E-2</c:v>
                </c:pt>
                <c:pt idx="15">
                  <c:v>4.3560520176110715E-2</c:v>
                </c:pt>
                <c:pt idx="16">
                  <c:v>4.3165981795368229E-2</c:v>
                </c:pt>
                <c:pt idx="17">
                  <c:v>4.2776528569324207E-2</c:v>
                </c:pt>
                <c:pt idx="18">
                  <c:v>4.2392075621825787E-2</c:v>
                </c:pt>
                <c:pt idx="19">
                  <c:v>4.201253981361517E-2</c:v>
                </c:pt>
                <c:pt idx="20">
                  <c:v>4.1637839700282689E-2</c:v>
                </c:pt>
                <c:pt idx="21">
                  <c:v>4.1406072234306902E-2</c:v>
                </c:pt>
                <c:pt idx="22">
                  <c:v>4.1313881116321151E-2</c:v>
                </c:pt>
                <c:pt idx="23">
                  <c:v>4.12219829539524E-2</c:v>
                </c:pt>
                <c:pt idx="24">
                  <c:v>4.1130376538151062E-2</c:v>
                </c:pt>
                <c:pt idx="25">
                  <c:v>4.1039060666003289E-2</c:v>
                </c:pt>
                <c:pt idx="26">
                  <c:v>4.0948034140693618E-2</c:v>
                </c:pt>
                <c:pt idx="27">
                  <c:v>4.0857295771468551E-2</c:v>
                </c:pt>
                <c:pt idx="28">
                  <c:v>4.0766844373599932E-2</c:v>
                </c:pt>
                <c:pt idx="29">
                  <c:v>4.0676678768349052E-2</c:v>
                </c:pt>
                <c:pt idx="30">
                  <c:v>4.058679778293036E-2</c:v>
                </c:pt>
                <c:pt idx="31">
                  <c:v>4.0497200250476165E-2</c:v>
                </c:pt>
                <c:pt idx="32">
                  <c:v>4.040788501000088E-2</c:v>
                </c:pt>
                <c:pt idx="33">
                  <c:v>4.0318850906366117E-2</c:v>
                </c:pt>
                <c:pt idx="34">
                  <c:v>4.0230096790245543E-2</c:v>
                </c:pt>
                <c:pt idx="35">
                  <c:v>4.0141621518090372E-2</c:v>
                </c:pt>
                <c:pt idx="36">
                  <c:v>4.0053423952094658E-2</c:v>
                </c:pt>
                <c:pt idx="37">
                  <c:v>3.996550296016143E-2</c:v>
                </c:pt>
                <c:pt idx="38">
                  <c:v>3.987785741586828E-2</c:v>
                </c:pt>
                <c:pt idx="39">
                  <c:v>3.9790486198434061E-2</c:v>
                </c:pt>
                <c:pt idx="40">
                  <c:v>3.9703388192684999E-2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0-485E-B9B2-71AC8D662D29}"/>
            </c:ext>
          </c:extLst>
        </c:ser>
        <c:ser>
          <c:idx val="1"/>
          <c:order val="1"/>
          <c:tx>
            <c:strRef>
              <c:f>'Direct step'!$I$17</c:f>
              <c:strCache>
                <c:ptCount val="1"/>
                <c:pt idx="0">
                  <c:v>t*90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Pt>
            <c:idx val="39"/>
            <c:marker>
              <c:symbol val="circle"/>
              <c:size val="3"/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980-485E-B9B2-71AC8D662D29}"/>
              </c:ext>
            </c:extLst>
          </c:dPt>
          <c:xVal>
            <c:numRef>
              <c:f>'Direct step'!$F$19:$F$59</c:f>
              <c:numCache>
                <c:formatCode>0.00</c:formatCode>
                <c:ptCount val="41"/>
                <c:pt idx="0">
                  <c:v>0</c:v>
                </c:pt>
                <c:pt idx="1">
                  <c:v>3.0921407440836473E-3</c:v>
                </c:pt>
                <c:pt idx="2">
                  <c:v>1.2782156005718142E-2</c:v>
                </c:pt>
                <c:pt idx="3">
                  <c:v>2.9670267708683022E-2</c:v>
                </c:pt>
                <c:pt idx="4">
                  <c:v>5.444032209012227E-2</c:v>
                </c:pt>
                <c:pt idx="5">
                  <c:v>8.7876107896951827E-2</c:v>
                </c:pt>
                <c:pt idx="6">
                  <c:v>0.13088185872234223</c:v>
                </c:pt>
                <c:pt idx="7">
                  <c:v>0.18450829650087111</c:v>
                </c:pt>
                <c:pt idx="8">
                  <c:v>0.24998611598801881</c:v>
                </c:pt>
                <c:pt idx="9">
                  <c:v>0.32876961603702315</c:v>
                </c:pt>
                <c:pt idx="10">
                  <c:v>0.42259440546567273</c:v>
                </c:pt>
                <c:pt idx="11">
                  <c:v>0.53355500748130202</c:v>
                </c:pt>
                <c:pt idx="12">
                  <c:v>0.66421120646822807</c:v>
                </c:pt>
                <c:pt idx="13">
                  <c:v>0.81773693347075105</c:v>
                </c:pt>
                <c:pt idx="14">
                  <c:v>0.99813388447606921</c:v>
                </c:pt>
                <c:pt idx="15">
                  <c:v>1.2105468616657087</c:v>
                </c:pt>
                <c:pt idx="16">
                  <c:v>1.4617450837242425</c:v>
                </c:pt>
                <c:pt idx="17">
                  <c:v>1.7608866198320714</c:v>
                </c:pt>
                <c:pt idx="18">
                  <c:v>2.1207924462899594</c:v>
                </c:pt>
                <c:pt idx="19">
                  <c:v>2.560200546668534</c:v>
                </c:pt>
                <c:pt idx="20">
                  <c:v>3.108069193871227</c:v>
                </c:pt>
                <c:pt idx="21">
                  <c:v>3.2676432025098365</c:v>
                </c:pt>
                <c:pt idx="22">
                  <c:v>3.4379705806694751</c:v>
                </c:pt>
                <c:pt idx="23">
                  <c:v>3.6202812191461313</c:v>
                </c:pt>
                <c:pt idx="24">
                  <c:v>3.8160286230614271</c:v>
                </c:pt>
                <c:pt idx="25">
                  <c:v>4.0269476187914206</c:v>
                </c:pt>
                <c:pt idx="26">
                  <c:v>4.255131959834455</c:v>
                </c:pt>
                <c:pt idx="27">
                  <c:v>4.5031406755959553</c:v>
                </c:pt>
                <c:pt idx="28">
                  <c:v>4.7741469596842325</c:v>
                </c:pt>
                <c:pt idx="29">
                  <c:v>5.0721517922494073</c:v>
                </c:pt>
                <c:pt idx="30">
                  <c:v>5.4022992872455138</c:v>
                </c:pt>
                <c:pt idx="31">
                  <c:v>5.7713580119357921</c:v>
                </c:pt>
                <c:pt idx="32">
                  <c:v>6.1884854355189729</c:v>
                </c:pt>
                <c:pt idx="33">
                  <c:v>6.6665020101703814</c:v>
                </c:pt>
                <c:pt idx="34">
                  <c:v>7.224145314428104</c:v>
                </c:pt>
                <c:pt idx="35">
                  <c:v>7.8903734178335023</c:v>
                </c:pt>
                <c:pt idx="36">
                  <c:v>8.7134497618397262</c:v>
                </c:pt>
                <c:pt idx="37">
                  <c:v>9.7830064420254388</c:v>
                </c:pt>
                <c:pt idx="38">
                  <c:v>11.2962340547206</c:v>
                </c:pt>
                <c:pt idx="39">
                  <c:v>13.844704365742714</c:v>
                </c:pt>
                <c:pt idx="40">
                  <c:v>21.569419666443682</c:v>
                </c:pt>
              </c:numCache>
            </c:numRef>
          </c:xVal>
          <c:yVal>
            <c:numRef>
              <c:f>'Direct step'!$I$19:$I$59</c:f>
              <c:numCache>
                <c:formatCode>0.000</c:formatCode>
                <c:ptCount val="41"/>
                <c:pt idx="1">
                  <c:v>2.3068239629821855E-2</c:v>
                </c:pt>
                <c:pt idx="2">
                  <c:v>2.2847298238186847E-2</c:v>
                </c:pt>
                <c:pt idx="3">
                  <c:v>2.2629367507517067E-2</c:v>
                </c:pt>
                <c:pt idx="4">
                  <c:v>2.2414394322784546E-2</c:v>
                </c:pt>
                <c:pt idx="5">
                  <c:v>2.2202326717602295E-2</c:v>
                </c:pt>
                <c:pt idx="6">
                  <c:v>2.1993113844845813E-2</c:v>
                </c:pt>
                <c:pt idx="7">
                  <c:v>2.1786705948141461E-2</c:v>
                </c:pt>
                <c:pt idx="8">
                  <c:v>2.1583054334192206E-2</c:v>
                </c:pt>
                <c:pt idx="9">
                  <c:v>2.1382111345913325E-2</c:v>
                </c:pt>
                <c:pt idx="10">
                  <c:v>2.1183830336350889E-2</c:v>
                </c:pt>
                <c:pt idx="11">
                  <c:v>2.0988165643357495E-2</c:v>
                </c:pt>
                <c:pt idx="12">
                  <c:v>2.0795072565000065E-2</c:v>
                </c:pt>
                <c:pt idx="13">
                  <c:v>2.0604507335676155E-2</c:v>
                </c:pt>
                <c:pt idx="14">
                  <c:v>2.0416427102915153E-2</c:v>
                </c:pt>
                <c:pt idx="15">
                  <c:v>2.02307899048427E-2</c:v>
                </c:pt>
                <c:pt idx="16">
                  <c:v>2.0047554648286343E-2</c:v>
                </c:pt>
                <c:pt idx="17">
                  <c:v>1.9866681087502263E-2</c:v>
                </c:pt>
                <c:pt idx="18">
                  <c:v>1.9688129803502596E-2</c:v>
                </c:pt>
                <c:pt idx="19">
                  <c:v>1.9511862183964741E-2</c:v>
                </c:pt>
                <c:pt idx="20">
                  <c:v>1.9337840403703555E-2</c:v>
                </c:pt>
                <c:pt idx="21">
                  <c:v>1.9230200759090096E-2</c:v>
                </c:pt>
                <c:pt idx="22">
                  <c:v>1.9187384485741615E-2</c:v>
                </c:pt>
                <c:pt idx="23">
                  <c:v>1.9144704269619155E-2</c:v>
                </c:pt>
                <c:pt idx="24">
                  <c:v>1.9102159549204429E-2</c:v>
                </c:pt>
                <c:pt idx="25">
                  <c:v>1.905974976582879E-2</c:v>
                </c:pt>
                <c:pt idx="26">
                  <c:v>1.9017474363655845E-2</c:v>
                </c:pt>
                <c:pt idx="27">
                  <c:v>1.897533278966456E-2</c:v>
                </c:pt>
                <c:pt idx="28">
                  <c:v>1.8933324493632255E-2</c:v>
                </c:pt>
                <c:pt idx="29">
                  <c:v>1.8891448928117911E-2</c:v>
                </c:pt>
                <c:pt idx="30">
                  <c:v>1.8849705548445349E-2</c:v>
                </c:pt>
                <c:pt idx="31">
                  <c:v>1.8808093812686801E-2</c:v>
                </c:pt>
                <c:pt idx="32">
                  <c:v>1.8766613181646335E-2</c:v>
                </c:pt>
                <c:pt idx="33">
                  <c:v>1.8725263118843628E-2</c:v>
                </c:pt>
                <c:pt idx="34">
                  <c:v>1.8684043090497635E-2</c:v>
                </c:pt>
                <c:pt idx="35">
                  <c:v>1.8642952565510594E-2</c:v>
                </c:pt>
                <c:pt idx="36">
                  <c:v>1.8601991015451871E-2</c:v>
                </c:pt>
                <c:pt idx="37">
                  <c:v>1.8561157914542256E-2</c:v>
                </c:pt>
                <c:pt idx="38">
                  <c:v>1.8520452739637969E-2</c:v>
                </c:pt>
                <c:pt idx="39">
                  <c:v>1.84798749702152E-2</c:v>
                </c:pt>
                <c:pt idx="40">
                  <c:v>1.8439424088354372E-2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80-485E-B9B2-71AC8D662D29}"/>
            </c:ext>
          </c:extLst>
        </c:ser>
        <c:ser>
          <c:idx val="2"/>
          <c:order val="2"/>
          <c:tx>
            <c:strRef>
              <c:f>'Direct step'!$J$17</c:f>
              <c:strCache>
                <c:ptCount val="1"/>
                <c:pt idx="0">
                  <c:v>t*??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'Direct step'!$F$19:$F$59</c:f>
              <c:numCache>
                <c:formatCode>0.00</c:formatCode>
                <c:ptCount val="41"/>
                <c:pt idx="0">
                  <c:v>0</c:v>
                </c:pt>
                <c:pt idx="1">
                  <c:v>3.0921407440836473E-3</c:v>
                </c:pt>
                <c:pt idx="2">
                  <c:v>1.2782156005718142E-2</c:v>
                </c:pt>
                <c:pt idx="3">
                  <c:v>2.9670267708683022E-2</c:v>
                </c:pt>
                <c:pt idx="4">
                  <c:v>5.444032209012227E-2</c:v>
                </c:pt>
                <c:pt idx="5">
                  <c:v>8.7876107896951827E-2</c:v>
                </c:pt>
                <c:pt idx="6">
                  <c:v>0.13088185872234223</c:v>
                </c:pt>
                <c:pt idx="7">
                  <c:v>0.18450829650087111</c:v>
                </c:pt>
                <c:pt idx="8">
                  <c:v>0.24998611598801881</c:v>
                </c:pt>
                <c:pt idx="9">
                  <c:v>0.32876961603702315</c:v>
                </c:pt>
                <c:pt idx="10">
                  <c:v>0.42259440546567273</c:v>
                </c:pt>
                <c:pt idx="11">
                  <c:v>0.53355500748130202</c:v>
                </c:pt>
                <c:pt idx="12">
                  <c:v>0.66421120646822807</c:v>
                </c:pt>
                <c:pt idx="13">
                  <c:v>0.81773693347075105</c:v>
                </c:pt>
                <c:pt idx="14">
                  <c:v>0.99813388447606921</c:v>
                </c:pt>
                <c:pt idx="15">
                  <c:v>1.2105468616657087</c:v>
                </c:pt>
                <c:pt idx="16">
                  <c:v>1.4617450837242425</c:v>
                </c:pt>
                <c:pt idx="17">
                  <c:v>1.7608866198320714</c:v>
                </c:pt>
                <c:pt idx="18">
                  <c:v>2.1207924462899594</c:v>
                </c:pt>
                <c:pt idx="19">
                  <c:v>2.560200546668534</c:v>
                </c:pt>
                <c:pt idx="20">
                  <c:v>3.108069193871227</c:v>
                </c:pt>
                <c:pt idx="21">
                  <c:v>3.2676432025098365</c:v>
                </c:pt>
                <c:pt idx="22">
                  <c:v>3.4379705806694751</c:v>
                </c:pt>
                <c:pt idx="23">
                  <c:v>3.6202812191461313</c:v>
                </c:pt>
                <c:pt idx="24">
                  <c:v>3.8160286230614271</c:v>
                </c:pt>
                <c:pt idx="25">
                  <c:v>4.0269476187914206</c:v>
                </c:pt>
                <c:pt idx="26">
                  <c:v>4.255131959834455</c:v>
                </c:pt>
                <c:pt idx="27">
                  <c:v>4.5031406755959553</c:v>
                </c:pt>
                <c:pt idx="28">
                  <c:v>4.7741469596842325</c:v>
                </c:pt>
                <c:pt idx="29">
                  <c:v>5.0721517922494073</c:v>
                </c:pt>
                <c:pt idx="30">
                  <c:v>5.4022992872455138</c:v>
                </c:pt>
                <c:pt idx="31">
                  <c:v>5.7713580119357921</c:v>
                </c:pt>
                <c:pt idx="32">
                  <c:v>6.1884854355189729</c:v>
                </c:pt>
                <c:pt idx="33">
                  <c:v>6.6665020101703814</c:v>
                </c:pt>
                <c:pt idx="34">
                  <c:v>7.224145314428104</c:v>
                </c:pt>
                <c:pt idx="35">
                  <c:v>7.8903734178335023</c:v>
                </c:pt>
                <c:pt idx="36">
                  <c:v>8.7134497618397262</c:v>
                </c:pt>
                <c:pt idx="37">
                  <c:v>9.7830064420254388</c:v>
                </c:pt>
                <c:pt idx="38">
                  <c:v>11.2962340547206</c:v>
                </c:pt>
                <c:pt idx="39">
                  <c:v>13.844704365742714</c:v>
                </c:pt>
                <c:pt idx="40">
                  <c:v>21.569419666443682</c:v>
                </c:pt>
              </c:numCache>
            </c:numRef>
          </c:xVal>
          <c:yVal>
            <c:numRef>
              <c:f>'Direct step'!$J$19:$J$59</c:f>
              <c:numCache>
                <c:formatCode>0.000</c:formatCode>
                <c:ptCount val="41"/>
                <c:pt idx="1">
                  <c:v>6.1415392061077524E-2</c:v>
                </c:pt>
                <c:pt idx="2">
                  <c:v>6.0827171962468778E-2</c:v>
                </c:pt>
                <c:pt idx="3">
                  <c:v>6.0246967253265962E-2</c:v>
                </c:pt>
                <c:pt idx="4">
                  <c:v>5.9674636523447365E-2</c:v>
                </c:pt>
                <c:pt idx="5">
                  <c:v>5.9110041421058863E-2</c:v>
                </c:pt>
                <c:pt idx="6">
                  <c:v>5.8553046573998534E-2</c:v>
                </c:pt>
                <c:pt idx="7">
                  <c:v>5.8003519514109127E-2</c:v>
                </c:pt>
                <c:pt idx="8">
                  <c:v>5.7461330603499942E-2</c:v>
                </c:pt>
                <c:pt idx="9">
                  <c:v>5.6926352963025034E-2</c:v>
                </c:pt>
                <c:pt idx="10">
                  <c:v>5.6398462402845462E-2</c:v>
                </c:pt>
                <c:pt idx="11">
                  <c:v>5.5877537355007625E-2</c:v>
                </c:pt>
                <c:pt idx="12">
                  <c:v>5.5363458807970542E-2</c:v>
                </c:pt>
                <c:pt idx="13">
                  <c:v>5.4856110243019493E-2</c:v>
                </c:pt>
                <c:pt idx="14">
                  <c:v>5.4355377572502979E-2</c:v>
                </c:pt>
                <c:pt idx="15">
                  <c:v>5.3861149079835476E-2</c:v>
                </c:pt>
                <c:pt idx="16">
                  <c:v>5.3373315361207346E-2</c:v>
                </c:pt>
                <c:pt idx="17">
                  <c:v>5.2891769268948244E-2</c:v>
                </c:pt>
                <c:pt idx="18">
                  <c:v>5.2416405856489483E-2</c:v>
                </c:pt>
                <c:pt idx="19">
                  <c:v>5.1947122324875951E-2</c:v>
                </c:pt>
                <c:pt idx="20">
                  <c:v>5.1483817970776433E-2</c:v>
                </c:pt>
                <c:pt idx="21">
                  <c:v>5.1197245129444208E-2</c:v>
                </c:pt>
                <c:pt idx="22">
                  <c:v>5.1083253847209922E-2</c:v>
                </c:pt>
                <c:pt idx="23">
                  <c:v>5.0969624794951256E-2</c:v>
                </c:pt>
                <c:pt idx="24">
                  <c:v>5.0856356477718183E-2</c:v>
                </c:pt>
                <c:pt idx="25">
                  <c:v>5.0743447408147346E-2</c:v>
                </c:pt>
                <c:pt idx="26">
                  <c:v>5.0630896106415822E-2</c:v>
                </c:pt>
                <c:pt idx="27">
                  <c:v>5.0518701100196108E-2</c:v>
                </c:pt>
                <c:pt idx="28">
                  <c:v>5.0406860924610858E-2</c:v>
                </c:pt>
                <c:pt idx="29">
                  <c:v>5.0295374122188451E-2</c:v>
                </c:pt>
                <c:pt idx="30">
                  <c:v>5.0184239242818181E-2</c:v>
                </c:pt>
                <c:pt idx="31">
                  <c:v>5.0073454843706532E-2</c:v>
                </c:pt>
                <c:pt idx="32">
                  <c:v>4.9963019489333078E-2</c:v>
                </c:pt>
                <c:pt idx="33">
                  <c:v>4.9852931751407238E-2</c:v>
                </c:pt>
                <c:pt idx="34">
                  <c:v>4.9743190208824804E-2</c:v>
                </c:pt>
                <c:pt idx="35">
                  <c:v>4.9633793447625377E-2</c:v>
                </c:pt>
                <c:pt idx="36">
                  <c:v>4.9524740060949368E-2</c:v>
                </c:pt>
                <c:pt idx="37">
                  <c:v>4.9416028648996128E-2</c:v>
                </c:pt>
                <c:pt idx="38">
                  <c:v>4.9307657818981443E-2</c:v>
                </c:pt>
                <c:pt idx="39">
                  <c:v>4.919962618509631E-2</c:v>
                </c:pt>
                <c:pt idx="40">
                  <c:v>4.909193236846509E-2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A5-45E9-B8C2-C09004EE5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449992"/>
        <c:axId val="306730648"/>
      </c:scatterChart>
      <c:valAx>
        <c:axId val="306449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730648"/>
        <c:crosses val="autoZero"/>
        <c:crossBetween val="midCat"/>
      </c:valAx>
      <c:valAx>
        <c:axId val="3067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449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86057313867006"/>
          <c:y val="4.1058770396842541E-3"/>
          <c:w val="9.6913619401365683E-2"/>
          <c:h val="0.34533777962908618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Logan R AB First Dam at Gage</a:t>
            </a:r>
          </a:p>
        </c:rich>
      </c:tx>
      <c:layout>
        <c:manualLayout>
          <c:xMode val="edge"/>
          <c:yMode val="edge"/>
          <c:x val="0.28473958333333332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549479166666666"/>
          <c:y val="0.15838379038827044"/>
          <c:w val="0.79763020833333331"/>
          <c:h val="0.65661620961172962"/>
        </c:manualLayout>
      </c:layout>
      <c:scatterChart>
        <c:scatterStyle val="lineMarker"/>
        <c:varyColors val="0"/>
        <c:ser>
          <c:idx val="6"/>
          <c:order val="0"/>
          <c:tx>
            <c:strRef>
              <c:f>GSD!$D$5</c:f>
              <c:strCache>
                <c:ptCount val="1"/>
                <c:pt idx="0">
                  <c:v>27-Jul-22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GSD!$C$9:$C$22</c:f>
              <c:numCache>
                <c:formatCode>General</c:formatCode>
                <c:ptCount val="14"/>
                <c:pt idx="0" formatCode="0">
                  <c:v>724.0773439350246</c:v>
                </c:pt>
                <c:pt idx="1">
                  <c:v>512</c:v>
                </c:pt>
                <c:pt idx="2" formatCode="0">
                  <c:v>362.0386719675123</c:v>
                </c:pt>
                <c:pt idx="3">
                  <c:v>255.99999999999997</c:v>
                </c:pt>
                <c:pt idx="4" formatCode="0">
                  <c:v>181.01933598375612</c:v>
                </c:pt>
                <c:pt idx="5">
                  <c:v>127.99999999999996</c:v>
                </c:pt>
                <c:pt idx="6" formatCode="0">
                  <c:v>90.509667991878047</c:v>
                </c:pt>
                <c:pt idx="7">
                  <c:v>63.999999999999972</c:v>
                </c:pt>
                <c:pt idx="8" formatCode="0">
                  <c:v>45.254833995939016</c:v>
                </c:pt>
                <c:pt idx="9">
                  <c:v>31.999999999999979</c:v>
                </c:pt>
                <c:pt idx="10" formatCode="0">
                  <c:v>22.627416997969505</c:v>
                </c:pt>
                <c:pt idx="11">
                  <c:v>15.999999999999988</c:v>
                </c:pt>
                <c:pt idx="12" formatCode="0">
                  <c:v>11.313708498984751</c:v>
                </c:pt>
                <c:pt idx="13">
                  <c:v>7.9999999999999929</c:v>
                </c:pt>
              </c:numCache>
            </c:numRef>
          </c:xVal>
          <c:yVal>
            <c:numRef>
              <c:f>GSD!$D$9:$D$22</c:f>
              <c:numCache>
                <c:formatCode>0.0</c:formatCode>
                <c:ptCount val="14"/>
                <c:pt idx="0" formatCode="General">
                  <c:v>100</c:v>
                </c:pt>
                <c:pt idx="1">
                  <c:v>99.009900990099013</c:v>
                </c:pt>
                <c:pt idx="2">
                  <c:v>99.009900990099013</c:v>
                </c:pt>
                <c:pt idx="3">
                  <c:v>92.079207920792086</c:v>
                </c:pt>
                <c:pt idx="4">
                  <c:v>81.188118811881196</c:v>
                </c:pt>
                <c:pt idx="5">
                  <c:v>60.396039603960403</c:v>
                </c:pt>
                <c:pt idx="6">
                  <c:v>34.653465346534659</c:v>
                </c:pt>
                <c:pt idx="7">
                  <c:v>18.811881188118818</c:v>
                </c:pt>
                <c:pt idx="8">
                  <c:v>9.900990099009908</c:v>
                </c:pt>
                <c:pt idx="9">
                  <c:v>6.9306930693069377</c:v>
                </c:pt>
                <c:pt idx="10">
                  <c:v>3.9603960396039675</c:v>
                </c:pt>
                <c:pt idx="11">
                  <c:v>1.9801980198019873</c:v>
                </c:pt>
                <c:pt idx="12">
                  <c:v>1.9801980198019873</c:v>
                </c:pt>
                <c:pt idx="13">
                  <c:v>1.9801980198019873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01-4E5A-B1E7-E3A44521B411}"/>
            </c:ext>
          </c:extLst>
        </c:ser>
        <c:ser>
          <c:idx val="3"/>
          <c:order val="1"/>
          <c:tx>
            <c:strRef>
              <c:f>GSD!$E$5</c:f>
              <c:strCache>
                <c:ptCount val="1"/>
                <c:pt idx="0">
                  <c:v>1-Aug-23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GSD!$C$9:$C$22</c:f>
              <c:numCache>
                <c:formatCode>General</c:formatCode>
                <c:ptCount val="14"/>
                <c:pt idx="0" formatCode="0">
                  <c:v>724.0773439350246</c:v>
                </c:pt>
                <c:pt idx="1">
                  <c:v>512</c:v>
                </c:pt>
                <c:pt idx="2" formatCode="0">
                  <c:v>362.0386719675123</c:v>
                </c:pt>
                <c:pt idx="3">
                  <c:v>255.99999999999997</c:v>
                </c:pt>
                <c:pt idx="4" formatCode="0">
                  <c:v>181.01933598375612</c:v>
                </c:pt>
                <c:pt idx="5">
                  <c:v>127.99999999999996</c:v>
                </c:pt>
                <c:pt idx="6" formatCode="0">
                  <c:v>90.509667991878047</c:v>
                </c:pt>
                <c:pt idx="7">
                  <c:v>63.999999999999972</c:v>
                </c:pt>
                <c:pt idx="8" formatCode="0">
                  <c:v>45.254833995939016</c:v>
                </c:pt>
                <c:pt idx="9">
                  <c:v>31.999999999999979</c:v>
                </c:pt>
                <c:pt idx="10" formatCode="0">
                  <c:v>22.627416997969505</c:v>
                </c:pt>
                <c:pt idx="11">
                  <c:v>15.999999999999988</c:v>
                </c:pt>
                <c:pt idx="12" formatCode="0">
                  <c:v>11.313708498984751</c:v>
                </c:pt>
                <c:pt idx="13">
                  <c:v>7.9999999999999929</c:v>
                </c:pt>
              </c:numCache>
            </c:numRef>
          </c:xVal>
          <c:yVal>
            <c:numRef>
              <c:f>GSD!$E$9:$E$22</c:f>
              <c:numCache>
                <c:formatCode>0.0</c:formatCode>
                <c:ptCount val="14"/>
                <c:pt idx="0" formatCode="General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99.056603773584911</c:v>
                </c:pt>
                <c:pt idx="4">
                  <c:v>96.226415094339629</c:v>
                </c:pt>
                <c:pt idx="5">
                  <c:v>91.509433962264154</c:v>
                </c:pt>
                <c:pt idx="6">
                  <c:v>82.075471698113205</c:v>
                </c:pt>
                <c:pt idx="7">
                  <c:v>68.867924528301884</c:v>
                </c:pt>
                <c:pt idx="8">
                  <c:v>52.830188679245282</c:v>
                </c:pt>
                <c:pt idx="9">
                  <c:v>33.962264150943398</c:v>
                </c:pt>
                <c:pt idx="10">
                  <c:v>20.754716981132077</c:v>
                </c:pt>
                <c:pt idx="11">
                  <c:v>10.377358490566039</c:v>
                </c:pt>
                <c:pt idx="12">
                  <c:v>5.6603773584905666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01-4E5A-B1E7-E3A44521B411}"/>
            </c:ext>
          </c:extLst>
        </c:ser>
        <c:ser>
          <c:idx val="1"/>
          <c:order val="2"/>
          <c:tx>
            <c:strRef>
              <c:f>GSD!$F$29</c:f>
              <c:strCache>
                <c:ptCount val="1"/>
                <c:pt idx="0">
                  <c:v>111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25400">
                <a:solidFill>
                  <a:srgbClr val="FF0000"/>
                </a:solidFill>
              </a:ln>
              <a:effectLst/>
            </c:spPr>
          </c:marker>
          <c:xVal>
            <c:numRef>
              <c:f>GSD!$F$29</c:f>
              <c:numCache>
                <c:formatCode>0" mm"</c:formatCode>
                <c:ptCount val="1"/>
                <c:pt idx="0">
                  <c:v>111.28203698181825</c:v>
                </c:pt>
              </c:numCache>
            </c:numRef>
          </c:xVal>
          <c:yVal>
            <c:numRef>
              <c:f>GSD!$G$29</c:f>
              <c:numCache>
                <c:formatCode>General</c:formatCode>
                <c:ptCount val="1"/>
                <c:pt idx="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A0-4A17-AF76-E3064B41C491}"/>
            </c:ext>
          </c:extLst>
        </c:ser>
        <c:ser>
          <c:idx val="4"/>
          <c:order val="3"/>
          <c:tx>
            <c:strRef>
              <c:f>GSD!$F$34</c:f>
              <c:strCache>
                <c:ptCount val="1"/>
                <c:pt idx="0">
                  <c:v>43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GSD!$F$34</c:f>
              <c:numCache>
                <c:formatCode>0" mm"</c:formatCode>
                <c:ptCount val="1"/>
                <c:pt idx="0">
                  <c:v>42.962320088968418</c:v>
                </c:pt>
              </c:numCache>
            </c:numRef>
          </c:xVal>
          <c:yVal>
            <c:numRef>
              <c:f>GSD!$G$34</c:f>
              <c:numCache>
                <c:formatCode>General</c:formatCode>
                <c:ptCount val="1"/>
                <c:pt idx="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01-4E5A-B1E7-E3A44521B411}"/>
            </c:ext>
          </c:extLst>
        </c:ser>
        <c:ser>
          <c:idx val="2"/>
          <c:order val="4"/>
          <c:tx>
            <c:strRef>
              <c:f>GSD!$F$31</c:f>
              <c:strCache>
                <c:ptCount val="1"/>
                <c:pt idx="0">
                  <c:v>240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25400">
                <a:solidFill>
                  <a:srgbClr val="00B050"/>
                </a:solidFill>
              </a:ln>
              <a:effectLst/>
            </c:spPr>
          </c:marker>
          <c:xVal>
            <c:numRef>
              <c:f>GSD!$F$31</c:f>
              <c:numCache>
                <c:formatCode>0" mm"</c:formatCode>
                <c:ptCount val="1"/>
                <c:pt idx="0">
                  <c:v>239.61019020937155</c:v>
                </c:pt>
              </c:numCache>
            </c:numRef>
          </c:xVal>
          <c:yVal>
            <c:numRef>
              <c:f>GSD!$G$31</c:f>
              <c:numCache>
                <c:formatCode>General</c:formatCode>
                <c:ptCount val="1"/>
                <c:pt idx="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A0-4A17-AF76-E3064B41C491}"/>
            </c:ext>
          </c:extLst>
        </c:ser>
        <c:ser>
          <c:idx val="5"/>
          <c:order val="5"/>
          <c:tx>
            <c:strRef>
              <c:f>GSD!$F$36</c:f>
              <c:strCache>
                <c:ptCount val="1"/>
                <c:pt idx="0">
                  <c:v>121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rgbClr val="7030A0"/>
                </a:solidFill>
              </a:ln>
              <a:effectLst/>
            </c:spPr>
          </c:marker>
          <c:xVal>
            <c:numRef>
              <c:f>GSD!$F$36</c:f>
              <c:numCache>
                <c:formatCode>0" mm"</c:formatCode>
                <c:ptCount val="1"/>
                <c:pt idx="0">
                  <c:v>121.0953787808762</c:v>
                </c:pt>
              </c:numCache>
            </c:numRef>
          </c:xVal>
          <c:yVal>
            <c:numRef>
              <c:f>GSD!$G$36</c:f>
              <c:numCache>
                <c:formatCode>General</c:formatCode>
                <c:ptCount val="1"/>
                <c:pt idx="0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01-4E5A-B1E7-E3A44521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676495"/>
        <c:axId val="1855372447"/>
      </c:scatterChart>
      <c:valAx>
        <c:axId val="1772676495"/>
        <c:scaling>
          <c:logBase val="10"/>
          <c:orientation val="minMax"/>
          <c:max val="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55372447"/>
        <c:crosses val="autoZero"/>
        <c:crossBetween val="midCat"/>
      </c:valAx>
      <c:valAx>
        <c:axId val="185537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72676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459043656158943"/>
          <c:y val="0.54536808517402413"/>
          <c:w val="0.19864892935834144"/>
          <c:h val="0.4546320295580412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chart" Target="../charts/chart3.xml"/><Relationship Id="rId6" Type="http://schemas.openxmlformats.org/officeDocument/2006/relationships/image" Target="../media/image15.jpeg"/><Relationship Id="rId5" Type="http://schemas.openxmlformats.org/officeDocument/2006/relationships/image" Target="../media/image14.png"/><Relationship Id="rId4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9</xdr:row>
          <xdr:rowOff>82550</xdr:rowOff>
        </xdr:from>
        <xdr:to>
          <xdr:col>8</xdr:col>
          <xdr:colOff>520700</xdr:colOff>
          <xdr:row>15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4455</xdr:colOff>
      <xdr:row>15</xdr:row>
      <xdr:rowOff>0</xdr:rowOff>
    </xdr:from>
    <xdr:to>
      <xdr:col>20</xdr:col>
      <xdr:colOff>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0</xdr:row>
          <xdr:rowOff>0</xdr:rowOff>
        </xdr:from>
        <xdr:to>
          <xdr:col>14</xdr:col>
          <xdr:colOff>584200</xdr:colOff>
          <xdr:row>14</xdr:row>
          <xdr:rowOff>127000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4455</xdr:colOff>
      <xdr:row>30</xdr:row>
      <xdr:rowOff>0</xdr:rowOff>
    </xdr:from>
    <xdr:to>
      <xdr:col>20</xdr:col>
      <xdr:colOff>0</xdr:colOff>
      <xdr:row>45</xdr:row>
      <xdr:rowOff>69850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9</xdr:row>
      <xdr:rowOff>107950</xdr:rowOff>
    </xdr:from>
    <xdr:to>
      <xdr:col>0</xdr:col>
      <xdr:colOff>501650</xdr:colOff>
      <xdr:row>15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350" y="1701800"/>
          <a:ext cx="368300" cy="102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lIns="0" tIns="0" rIns="0" bIns="0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Increment depth in baby steps</a:t>
          </a:r>
        </a:p>
      </xdr:txBody>
    </xdr:sp>
    <xdr:clientData/>
  </xdr:twoCellAnchor>
  <xdr:twoCellAnchor>
    <xdr:from>
      <xdr:col>1</xdr:col>
      <xdr:colOff>101600</xdr:colOff>
      <xdr:row>9</xdr:row>
      <xdr:rowOff>95250</xdr:rowOff>
    </xdr:from>
    <xdr:to>
      <xdr:col>1</xdr:col>
      <xdr:colOff>469900</xdr:colOff>
      <xdr:row>15</xdr:row>
      <xdr:rowOff>120650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11200" y="1689100"/>
          <a:ext cx="368300" cy="102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lIns="0" tIns="0" rIns="0" bIns="0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Calculate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en-US" sz="1100" i="0">
              <a:latin typeface="Times New Roman" panose="02020603050405020304" pitchFamily="18" charset="0"/>
              <a:cs typeface="Times New Roman" panose="02020603050405020304" pitchFamily="18" charset="0"/>
            </a:rPr>
            <a:t> for each depth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9</xdr:row>
      <xdr:rowOff>139700</xdr:rowOff>
    </xdr:from>
    <xdr:to>
      <xdr:col>3</xdr:col>
      <xdr:colOff>857250</xdr:colOff>
      <xdr:row>11</xdr:row>
      <xdr:rowOff>158750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19200" y="1733550"/>
          <a:ext cx="1530350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t"/>
        <a:lstStyle/>
        <a:p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Calculate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lang="en-US" sz="1100" i="0">
              <a:latin typeface="Times New Roman" panose="02020603050405020304" pitchFamily="18" charset="0"/>
              <a:cs typeface="Times New Roman" panose="02020603050405020304" pitchFamily="18" charset="0"/>
            </a:rPr>
            <a:t>,</a:t>
          </a:r>
          <a:r>
            <a:rPr lang="en-US" sz="11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  <a:r>
            <a:rPr lang="en-US" sz="11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for reach between stations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584200</xdr:colOff>
          <xdr:row>12</xdr:row>
          <xdr:rowOff>0</xdr:rowOff>
        </xdr:from>
        <xdr:to>
          <xdr:col>3</xdr:col>
          <xdr:colOff>787400</xdr:colOff>
          <xdr:row>14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139700</xdr:colOff>
      <xdr:row>15</xdr:row>
      <xdr:rowOff>0</xdr:rowOff>
    </xdr:from>
    <xdr:to>
      <xdr:col>4</xdr:col>
      <xdr:colOff>260350</xdr:colOff>
      <xdr:row>15</xdr:row>
      <xdr:rowOff>139700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901950" y="2590800"/>
          <a:ext cx="120650" cy="13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933450</xdr:colOff>
          <xdr:row>4</xdr:row>
          <xdr:rowOff>38100</xdr:rowOff>
        </xdr:from>
        <xdr:to>
          <xdr:col>19</xdr:col>
          <xdr:colOff>1295400</xdr:colOff>
          <xdr:row>12</xdr:row>
          <xdr:rowOff>38100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20</xdr:col>
      <xdr:colOff>0</xdr:colOff>
      <xdr:row>18</xdr:row>
      <xdr:rowOff>0</xdr:rowOff>
    </xdr:from>
    <xdr:to>
      <xdr:col>28</xdr:col>
      <xdr:colOff>151771</xdr:colOff>
      <xdr:row>38</xdr:row>
      <xdr:rowOff>4815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40118" y="3137647"/>
          <a:ext cx="5052477" cy="33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30</xdr:col>
      <xdr:colOff>134755</xdr:colOff>
      <xdr:row>17</xdr:row>
      <xdr:rowOff>138691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40118" y="0"/>
          <a:ext cx="6260637" cy="3137646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18</xdr:row>
      <xdr:rowOff>0</xdr:rowOff>
    </xdr:from>
    <xdr:to>
      <xdr:col>36</xdr:col>
      <xdr:colOff>286580</xdr:colOff>
      <xdr:row>33</xdr:row>
      <xdr:rowOff>131342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40824" y="3137647"/>
          <a:ext cx="5314286" cy="26190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590550</xdr:colOff>
          <xdr:row>4</xdr:row>
          <xdr:rowOff>38100</xdr:rowOff>
        </xdr:from>
        <xdr:to>
          <xdr:col>18</xdr:col>
          <xdr:colOff>908050</xdr:colOff>
          <xdr:row>13</xdr:row>
          <xdr:rowOff>76200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29</xdr:col>
      <xdr:colOff>560294</xdr:colOff>
      <xdr:row>8</xdr:row>
      <xdr:rowOff>97117</xdr:rowOff>
    </xdr:from>
    <xdr:to>
      <xdr:col>34</xdr:col>
      <xdr:colOff>122734</xdr:colOff>
      <xdr:row>16</xdr:row>
      <xdr:rowOff>120477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70588" y="1501588"/>
          <a:ext cx="2752381" cy="1390476"/>
        </a:xfrm>
        <a:prstGeom prst="rect">
          <a:avLst/>
        </a:prstGeom>
        <a:noFill/>
        <a:ln w="25400">
          <a:solidFill>
            <a:schemeClr val="tx1"/>
          </a:solidFill>
        </a:ln>
      </xdr:spPr>
    </xdr:pic>
    <xdr:clientData/>
  </xdr:twoCellAnchor>
  <xdr:twoCellAnchor>
    <xdr:from>
      <xdr:col>2</xdr:col>
      <xdr:colOff>392043</xdr:colOff>
      <xdr:row>0</xdr:row>
      <xdr:rowOff>0</xdr:rowOff>
    </xdr:from>
    <xdr:to>
      <xdr:col>10</xdr:col>
      <xdr:colOff>601870</xdr:colOff>
      <xdr:row>9</xdr:row>
      <xdr:rowOff>33131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606826" y="0"/>
          <a:ext cx="5576957" cy="16399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DIRECT STEP METHOD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Input specified in the green cells.  For given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q, n, S</a:t>
          </a:r>
          <a:r>
            <a:rPr lang="en-US" sz="1200" b="0" i="1" u="none" strike="noStrike" baseline="-2500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o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, g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, calculate critical depth and normal depth. Assume critical depth at the riffle crest. Work upstream from crest.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In each row (except the first), we calculate the average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S</a:t>
          </a:r>
          <a:r>
            <a:rPr lang="en-US" sz="1200" b="0" i="1" u="none" strike="noStrike" baseline="-2500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f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 between the two sections and use this in our calculation of </a:t>
          </a:r>
          <a:r>
            <a:rPr lang="en-US" sz="1200" b="0" i="1" u="none" strike="noStrike" baseline="0">
              <a:solidFill>
                <a:srgbClr val="000000"/>
              </a:solidFill>
              <a:latin typeface="Symbol" panose="05050102010706020507" pitchFamily="18" charset="2"/>
              <a:ea typeface="Verdana" panose="020B0604030504040204" pitchFamily="34" charset="0"/>
              <a:cs typeface="Times New Roman" panose="02020603050405020304" pitchFamily="18" charset="0"/>
            </a:rPr>
            <a:t>D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x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.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Verdana" panose="020B0604030504040204" pitchFamily="34" charset="0"/>
              <a:cs typeface="Times New Roman" panose="02020603050405020304" pitchFamily="18" charset="0"/>
            </a:rPr>
            <a:t>Note that the cells in B3:B9 are all named, which makes reading the formulas much easier.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0.0006</cdr:x>
      <cdr:y>0.14278</cdr:y>
    </cdr:from>
    <cdr:to>
      <cdr:x>0.04398</cdr:x>
      <cdr:y>0.58931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76248" y="871172"/>
          <a:ext cx="1223596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Elevation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(m)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0.51679</cdr:x>
      <cdr:y>0.90374</cdr:y>
    </cdr:from>
    <cdr:to>
      <cdr:x>0.71799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42761" y="2476500"/>
          <a:ext cx="1223596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Distance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(m)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0.14713</cdr:y>
    </cdr:from>
    <cdr:to>
      <cdr:x>0.04338</cdr:x>
      <cdr:y>0.6317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84819" y="859469"/>
          <a:ext cx="1233890" cy="264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Shields Number</a:t>
          </a:r>
        </a:p>
      </cdr:txBody>
    </cdr:sp>
  </cdr:relSizeAnchor>
  <cdr:relSizeAnchor xmlns:cdr="http://schemas.openxmlformats.org/drawingml/2006/chartDrawing">
    <cdr:from>
      <cdr:x>0.51679</cdr:x>
      <cdr:y>0.90374</cdr:y>
    </cdr:from>
    <cdr:to>
      <cdr:x>0.71799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42761" y="2476500"/>
          <a:ext cx="1223596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Distance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(m)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38</xdr:row>
          <xdr:rowOff>6350</xdr:rowOff>
        </xdr:from>
        <xdr:to>
          <xdr:col>3</xdr:col>
          <xdr:colOff>603250</xdr:colOff>
          <xdr:row>48</xdr:row>
          <xdr:rowOff>12700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14</xdr:col>
      <xdr:colOff>605118</xdr:colOff>
      <xdr:row>0</xdr:row>
      <xdr:rowOff>0</xdr:rowOff>
    </xdr:from>
    <xdr:to>
      <xdr:col>45</xdr:col>
      <xdr:colOff>102096</xdr:colOff>
      <xdr:row>51</xdr:row>
      <xdr:rowOff>11546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9181353" y="0"/>
          <a:ext cx="18487214" cy="9700899"/>
          <a:chOff x="9178636" y="0"/>
          <a:chExt cx="18466840" cy="9605819"/>
        </a:xfrm>
      </xdr:grpSpPr>
      <xdr:pic>
        <xdr:nvPicPr>
          <xdr:cNvPr id="4" name="Picture 3" descr="C:\Users\paint\Documents\prwRESEARCH\Utah Streams\Logan\First Dam\Photos 27 July 2022\iCloud Photos\IMG_3458.JPE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97727" y="0"/>
            <a:ext cx="6119091" cy="46353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C:\Users\paint\Documents\prwRESEARCH\Utah Streams\Logan\First Dam\Photos 27 July 2022\iCloud Photos\IMG_3459.JPE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178636" y="0"/>
            <a:ext cx="6119091" cy="46367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 descr="C:\Users\paint\Documents\prwRESEARCH\Utah Streams\Logan\First Dam\Photos 27 July 2022\iCloud Photos\IMG_3456.JPEG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178636" y="4628040"/>
            <a:ext cx="3691199" cy="496612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50091" y="4572022"/>
            <a:ext cx="9902496" cy="5033797"/>
          </a:xfrm>
          <a:prstGeom prst="rect">
            <a:avLst/>
          </a:prstGeom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16914091" y="7787241"/>
            <a:ext cx="3255818" cy="536248"/>
          </a:xfrm>
          <a:prstGeom prst="rect">
            <a:avLst/>
          </a:prstGeom>
          <a:noFill/>
          <a:ln w="38100">
            <a:solidFill>
              <a:srgbClr val="FF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2800">
                <a:solidFill>
                  <a:sysClr val="windowText" lastClr="000000"/>
                </a:solidFill>
              </a:rPr>
              <a:t>Pebble Count Extent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10388192" y="2295166"/>
            <a:ext cx="4566567" cy="327782"/>
          </a:xfrm>
          <a:prstGeom prst="line">
            <a:avLst/>
          </a:prstGeom>
          <a:ln w="38100">
            <a:solidFill>
              <a:srgbClr val="FF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18618744" y="1967382"/>
            <a:ext cx="1955256" cy="1028607"/>
          </a:xfrm>
          <a:prstGeom prst="line">
            <a:avLst/>
          </a:prstGeom>
          <a:ln w="38100">
            <a:solidFill>
              <a:srgbClr val="FF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 flipH="1">
            <a:off x="17111723" y="1952296"/>
            <a:ext cx="1394962" cy="15085"/>
          </a:xfrm>
          <a:prstGeom prst="line">
            <a:avLst/>
          </a:prstGeom>
          <a:ln w="38100">
            <a:solidFill>
              <a:srgbClr val="FF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2" name="Picture 11" descr="C:\Users\paint\Documents\prwRESEARCH\Utah Streams\Logan\First Dam\Photos 27 July 2022\iCloud Photos\IMG_3460.JPEG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417496" y="0"/>
            <a:ext cx="6227980" cy="46746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22887165" y="2078472"/>
            <a:ext cx="1596670" cy="53638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2800">
                <a:solidFill>
                  <a:schemeClr val="bg1"/>
                </a:solidFill>
              </a:rPr>
              <a:t>N</a:t>
            </a:r>
            <a:r>
              <a:rPr lang="en-US" sz="2800" baseline="0">
                <a:solidFill>
                  <a:schemeClr val="bg1"/>
                </a:solidFill>
              </a:rPr>
              <a:t>o count</a:t>
            </a:r>
            <a:endParaRPr lang="en-US" sz="2800">
              <a:solidFill>
                <a:schemeClr val="bg1"/>
              </a:solidFill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13476941" y="983400"/>
            <a:ext cx="1597073" cy="54206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2800">
                <a:solidFill>
                  <a:schemeClr val="bg1"/>
                </a:solidFill>
              </a:rPr>
              <a:t>View U/S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19708090" y="858438"/>
            <a:ext cx="1597074" cy="53798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2800">
                <a:solidFill>
                  <a:schemeClr val="bg1"/>
                </a:solidFill>
              </a:rPr>
              <a:t>View D/S</a:t>
            </a:r>
          </a:p>
        </xdr:txBody>
      </xdr:sp>
    </xdr:grpSp>
    <xdr:clientData/>
  </xdr:twoCellAnchor>
  <xdr:twoCellAnchor editAs="oneCell">
    <xdr:from>
      <xdr:col>8</xdr:col>
      <xdr:colOff>545352</xdr:colOff>
      <xdr:row>24</xdr:row>
      <xdr:rowOff>179293</xdr:rowOff>
    </xdr:from>
    <xdr:to>
      <xdr:col>15</xdr:col>
      <xdr:colOff>1702</xdr:colOff>
      <xdr:row>50</xdr:row>
      <xdr:rowOff>174094</xdr:rowOff>
    </xdr:to>
    <xdr:pic>
      <xdr:nvPicPr>
        <xdr:cNvPr id="17" name="Picture 16" descr="C:\Users\paint\Documents\prwTEACHING\00 Short Courses\USU Short Course\2023\FIRST DAM\Moss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058" y="4684058"/>
          <a:ext cx="3744468" cy="4992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0.42448</cdr:x>
      <cdr:y>0.88793</cdr:y>
    </cdr:from>
    <cdr:to>
      <cdr:x>0.69271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AA4A1EE-8E8B-4B12-9256-3A36A726E4F6}"/>
            </a:ext>
          </a:extLst>
        </cdr:cNvPr>
        <cdr:cNvSpPr txBox="1"/>
      </cdr:nvSpPr>
      <cdr:spPr>
        <a:xfrm xmlns:a="http://schemas.openxmlformats.org/drawingml/2006/main">
          <a:off x="2070100" y="2616200"/>
          <a:ext cx="13081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Grain Size (mm)</a:t>
          </a:r>
        </a:p>
      </cdr:txBody>
    </cdr:sp>
  </cdr:relSizeAnchor>
  <cdr:relSizeAnchor xmlns:cdr="http://schemas.openxmlformats.org/drawingml/2006/chartDrawing">
    <cdr:from>
      <cdr:x>0.01563</cdr:x>
      <cdr:y>0.26724</cdr:y>
    </cdr:from>
    <cdr:to>
      <cdr:x>0.07292</cdr:x>
      <cdr:y>0.63793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04046B8-E8A1-472E-AC99-2CC69F857E84}"/>
            </a:ext>
          </a:extLst>
        </cdr:cNvPr>
        <cdr:cNvSpPr txBox="1"/>
      </cdr:nvSpPr>
      <cdr:spPr>
        <a:xfrm xmlns:a="http://schemas.openxmlformats.org/drawingml/2006/main">
          <a:off x="76200" y="787400"/>
          <a:ext cx="279400" cy="1092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Percent Finer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5"/>
  <sheetViews>
    <sheetView tabSelected="1" zoomScale="115" zoomScaleNormal="115" workbookViewId="0">
      <pane ySplit="15950" topLeftCell="A58"/>
      <selection activeCell="B4" sqref="B4"/>
      <selection pane="bottomLeft" activeCell="A55" sqref="A55"/>
    </sheetView>
  </sheetViews>
  <sheetFormatPr defaultRowHeight="13"/>
  <cols>
    <col min="1" max="2" width="8.7265625" style="2"/>
    <col min="3" max="3" width="9.6328125" style="2" customWidth="1"/>
    <col min="4" max="4" width="12.453125" style="2" bestFit="1" customWidth="1"/>
    <col min="5" max="5" width="9.54296875" style="2" bestFit="1" customWidth="1"/>
    <col min="6" max="9" width="8.7265625" style="2"/>
    <col min="10" max="10" width="10.36328125" style="2" bestFit="1" customWidth="1"/>
    <col min="11" max="18" width="8.7265625" style="2"/>
    <col min="19" max="19" width="18.08984375" style="2" bestFit="1" customWidth="1"/>
    <col min="20" max="20" width="19" style="2" customWidth="1"/>
    <col min="21" max="30" width="8.7265625" style="2"/>
    <col min="31" max="31" width="10.54296875" style="2" bestFit="1" customWidth="1"/>
    <col min="32" max="16384" width="8.7265625" style="2"/>
  </cols>
  <sheetData>
    <row r="1" spans="1:20">
      <c r="P1" s="88" t="s">
        <v>28</v>
      </c>
      <c r="Q1" s="40">
        <v>857</v>
      </c>
      <c r="R1" s="2" t="s">
        <v>32</v>
      </c>
      <c r="S1" s="2" t="s">
        <v>36</v>
      </c>
      <c r="T1" s="10" t="s">
        <v>42</v>
      </c>
    </row>
    <row r="2" spans="1:20">
      <c r="P2" s="88" t="s">
        <v>28</v>
      </c>
      <c r="Q2" s="41">
        <f>Q1*0.3048^3</f>
        <v>24.267537529344004</v>
      </c>
      <c r="R2" s="2" t="s">
        <v>33</v>
      </c>
      <c r="S2" s="2" t="s">
        <v>37</v>
      </c>
      <c r="T2" s="10" t="s">
        <v>41</v>
      </c>
    </row>
    <row r="3" spans="1:20" ht="14.5">
      <c r="A3" s="51" t="s">
        <v>0</v>
      </c>
      <c r="B3" s="37">
        <f>Q4</f>
        <v>1.2772388173338949</v>
      </c>
      <c r="C3" s="1" t="s">
        <v>34</v>
      </c>
      <c r="P3" s="88" t="s">
        <v>29</v>
      </c>
      <c r="Q3" s="40">
        <v>19</v>
      </c>
      <c r="R3" s="2" t="s">
        <v>1</v>
      </c>
      <c r="S3" s="2" t="s">
        <v>38</v>
      </c>
      <c r="T3" s="10" t="s">
        <v>40</v>
      </c>
    </row>
    <row r="4" spans="1:20" ht="15.5">
      <c r="A4" s="52" t="s">
        <v>13</v>
      </c>
      <c r="B4" s="38">
        <v>0</v>
      </c>
      <c r="C4" s="3" t="s">
        <v>1</v>
      </c>
      <c r="P4" s="88" t="s">
        <v>0</v>
      </c>
      <c r="Q4" s="42">
        <f>Q2/Q3</f>
        <v>1.2772388173338949</v>
      </c>
      <c r="R4" s="2" t="s">
        <v>34</v>
      </c>
      <c r="S4" s="2" t="s">
        <v>39</v>
      </c>
      <c r="T4" s="10" t="s">
        <v>43</v>
      </c>
    </row>
    <row r="5" spans="1:20">
      <c r="A5" s="36" t="s">
        <v>7</v>
      </c>
      <c r="B5" s="39">
        <f>nD</f>
        <v>3.7306533843157269E-2</v>
      </c>
      <c r="C5" s="3"/>
    </row>
    <row r="6" spans="1:20" ht="15">
      <c r="A6" s="52" t="s">
        <v>14</v>
      </c>
      <c r="B6" s="38">
        <v>1.2E-2</v>
      </c>
      <c r="C6" s="3"/>
    </row>
    <row r="7" spans="1:20" ht="14.5">
      <c r="A7" s="53" t="s">
        <v>2</v>
      </c>
      <c r="B7" s="38">
        <v>9.81</v>
      </c>
      <c r="C7" s="4" t="s">
        <v>45</v>
      </c>
    </row>
    <row r="8" spans="1:20" ht="15">
      <c r="A8" s="51" t="s">
        <v>16</v>
      </c>
      <c r="B8" s="5">
        <f>(q^2/g)^(1/3)</f>
        <v>0.5499101513709922</v>
      </c>
      <c r="C8" s="1" t="s">
        <v>1</v>
      </c>
    </row>
    <row r="9" spans="1:20" ht="15">
      <c r="A9" s="53" t="s">
        <v>17</v>
      </c>
      <c r="B9" s="6">
        <f>(n*q/SQRT(So))^(3/5)</f>
        <v>0.60684786994351347</v>
      </c>
      <c r="C9" s="4" t="s">
        <v>1</v>
      </c>
    </row>
    <row r="15" spans="1:20" ht="13.5" thickBot="1"/>
    <row r="16" spans="1:20" ht="14" thickTop="1" thickBot="1">
      <c r="C16" s="69" t="s">
        <v>8</v>
      </c>
      <c r="D16" s="70"/>
    </row>
    <row r="17" spans="1:42" ht="15.5" thickTop="1">
      <c r="A17" s="54" t="s">
        <v>9</v>
      </c>
      <c r="B17" s="55" t="s">
        <v>3</v>
      </c>
      <c r="C17" s="54" t="s">
        <v>10</v>
      </c>
      <c r="D17" s="74" t="s">
        <v>11</v>
      </c>
      <c r="E17" s="56" t="s">
        <v>12</v>
      </c>
      <c r="F17" s="57" t="s">
        <v>4</v>
      </c>
      <c r="G17" s="68" t="s">
        <v>5</v>
      </c>
      <c r="H17" s="58" t="s">
        <v>30</v>
      </c>
      <c r="I17" s="58" t="s">
        <v>31</v>
      </c>
      <c r="J17" s="59" t="s">
        <v>35</v>
      </c>
    </row>
    <row r="18" spans="1:42" ht="13.5" thickBot="1">
      <c r="A18" s="60" t="s">
        <v>6</v>
      </c>
      <c r="B18" s="61" t="s">
        <v>6</v>
      </c>
      <c r="C18" s="60" t="s">
        <v>6</v>
      </c>
      <c r="D18" s="63"/>
      <c r="E18" s="75" t="s">
        <v>6</v>
      </c>
      <c r="F18" s="62" t="s">
        <v>6</v>
      </c>
      <c r="G18" s="61" t="s">
        <v>6</v>
      </c>
      <c r="H18" s="62"/>
      <c r="I18" s="62"/>
      <c r="J18" s="64">
        <v>90</v>
      </c>
    </row>
    <row r="19" spans="1:42" ht="14" thickTop="1" thickBot="1">
      <c r="A19" s="43">
        <f>Hbw+hc</f>
        <v>0.5499101513709922</v>
      </c>
      <c r="B19" s="44">
        <f t="shared" ref="B19:B54" si="0">A19+q^2/(2*g*A19^2)</f>
        <v>0.82486522705648824</v>
      </c>
      <c r="C19" s="71"/>
      <c r="D19" s="72"/>
      <c r="E19" s="73"/>
      <c r="F19" s="76">
        <v>0</v>
      </c>
      <c r="G19" s="76">
        <f>A19</f>
        <v>0.5499101513709922</v>
      </c>
      <c r="H19" s="77"/>
      <c r="I19" s="77"/>
      <c r="J19" s="78"/>
      <c r="AP19" s="9">
        <v>0</v>
      </c>
    </row>
    <row r="20" spans="1:42" ht="13.5" thickTop="1">
      <c r="A20" s="79">
        <f t="shared" ref="A20:A39" si="1">A19-0.8*($A$19-hn)/20</f>
        <v>0.55218766011389309</v>
      </c>
      <c r="B20" s="44">
        <f t="shared" si="0"/>
        <v>0.82487929812803884</v>
      </c>
      <c r="C20" s="43">
        <f>AVERAGE(A19,A20)</f>
        <v>0.55104890574244259</v>
      </c>
      <c r="D20" s="65">
        <f>(n*q/C20^(5/3))^2</f>
        <v>1.6550592199765186E-2</v>
      </c>
      <c r="E20" s="44">
        <f t="shared" ref="E20:E59" si="2">(B19-B20)/(D20-So)</f>
        <v>-3.0921407440836473E-3</v>
      </c>
      <c r="F20" s="76">
        <f>F19-E20</f>
        <v>3.0921407440836473E-3</v>
      </c>
      <c r="G20" s="76">
        <f t="shared" ref="G20:G59" si="3">A20+F20*So</f>
        <v>0.55222476580282209</v>
      </c>
      <c r="H20" s="44">
        <f>$C20*$D20/(1.65*Dfifty/1000)</f>
        <v>4.9670058487517314E-2</v>
      </c>
      <c r="I20" s="44">
        <f t="shared" ref="I20:I59" si="4">$C20*$D20/(1.65*Dninety/1000)</f>
        <v>2.3068239629821855E-2</v>
      </c>
      <c r="J20" s="45">
        <f t="shared" ref="J20:J59" si="5">$C20*$D20/(1.65*J$18/1000)</f>
        <v>6.1415392061077524E-2</v>
      </c>
      <c r="AP20" s="9">
        <f t="shared" ref="AP20:AP59" si="6">F20*So</f>
        <v>3.7105688929003768E-5</v>
      </c>
    </row>
    <row r="21" spans="1:42">
      <c r="A21" s="79">
        <f t="shared" si="1"/>
        <v>0.55446516885679398</v>
      </c>
      <c r="B21" s="44">
        <f t="shared" si="0"/>
        <v>0.82492120361445598</v>
      </c>
      <c r="C21" s="43">
        <f t="shared" ref="C21:C50" si="7">AVERAGE(A20,A21)</f>
        <v>0.55332641448534359</v>
      </c>
      <c r="D21" s="65">
        <f t="shared" ref="D21:D59" si="8">(n*q/C21^(5/3))^2</f>
        <v>1.6324604790154788E-2</v>
      </c>
      <c r="E21" s="44">
        <f t="shared" si="2"/>
        <v>-9.6900152616344951E-3</v>
      </c>
      <c r="F21" s="76">
        <f t="shared" ref="F21:F50" si="9">F20-E21</f>
        <v>1.2782156005718142E-2</v>
      </c>
      <c r="G21" s="76">
        <f t="shared" si="3"/>
        <v>0.55461855472886257</v>
      </c>
      <c r="H21" s="44">
        <f t="shared" ref="H21:H59" si="10">$C21*$D21/(1.65*Dfifty/1000)</f>
        <v>4.9194332033269922E-2</v>
      </c>
      <c r="I21" s="44">
        <f t="shared" si="4"/>
        <v>2.2847298238186847E-2</v>
      </c>
      <c r="J21" s="45">
        <f t="shared" si="5"/>
        <v>6.0827171962468778E-2</v>
      </c>
      <c r="AP21" s="9">
        <f t="shared" si="6"/>
        <v>1.533858720686177E-4</v>
      </c>
    </row>
    <row r="22" spans="1:42">
      <c r="A22" s="79">
        <f t="shared" si="1"/>
        <v>0.55674267759969487</v>
      </c>
      <c r="B22" s="44">
        <f t="shared" si="0"/>
        <v>0.82499048899134986</v>
      </c>
      <c r="C22" s="43">
        <f t="shared" si="7"/>
        <v>0.55560392322824437</v>
      </c>
      <c r="D22" s="65">
        <f t="shared" si="8"/>
        <v>1.6102612424201086E-2</v>
      </c>
      <c r="E22" s="44">
        <f t="shared" si="2"/>
        <v>-1.6888111702964882E-2</v>
      </c>
      <c r="F22" s="76">
        <f t="shared" si="9"/>
        <v>2.9670267708683022E-2</v>
      </c>
      <c r="G22" s="76">
        <f t="shared" si="3"/>
        <v>0.55709872081219902</v>
      </c>
      <c r="H22" s="44">
        <f t="shared" si="10"/>
        <v>4.8725088072209204E-2</v>
      </c>
      <c r="I22" s="44">
        <f t="shared" si="4"/>
        <v>2.2629367507517067E-2</v>
      </c>
      <c r="J22" s="45">
        <f t="shared" si="5"/>
        <v>6.0246967253265962E-2</v>
      </c>
      <c r="AP22" s="9">
        <f t="shared" si="6"/>
        <v>3.5604321250419627E-4</v>
      </c>
    </row>
    <row r="23" spans="1:42">
      <c r="A23" s="79">
        <f t="shared" si="1"/>
        <v>0.55902018634259576</v>
      </c>
      <c r="B23" s="44">
        <f t="shared" si="0"/>
        <v>0.82508670897433878</v>
      </c>
      <c r="C23" s="43">
        <f t="shared" si="7"/>
        <v>0.55788143197114537</v>
      </c>
      <c r="D23" s="65">
        <f t="shared" si="8"/>
        <v>1.5884528532203013E-2</v>
      </c>
      <c r="E23" s="44">
        <f t="shared" si="2"/>
        <v>-2.4770054381439244E-2</v>
      </c>
      <c r="F23" s="76">
        <f t="shared" si="9"/>
        <v>5.444032209012227E-2</v>
      </c>
      <c r="G23" s="76">
        <f t="shared" si="3"/>
        <v>0.55967347020767721</v>
      </c>
      <c r="H23" s="44">
        <f t="shared" si="10"/>
        <v>4.8262212238150831E-2</v>
      </c>
      <c r="I23" s="44">
        <f t="shared" si="4"/>
        <v>2.2414394322784546E-2</v>
      </c>
      <c r="J23" s="45">
        <f t="shared" si="5"/>
        <v>5.9674636523447365E-2</v>
      </c>
      <c r="AP23" s="9">
        <f t="shared" si="6"/>
        <v>6.5328386508146723E-4</v>
      </c>
    </row>
    <row r="24" spans="1:42">
      <c r="A24" s="79">
        <f t="shared" si="1"/>
        <v>0.56129769508549665</v>
      </c>
      <c r="B24" s="44">
        <f t="shared" si="0"/>
        <v>0.82520942729455438</v>
      </c>
      <c r="C24" s="43">
        <f t="shared" si="7"/>
        <v>0.56015894071404615</v>
      </c>
      <c r="D24" s="65">
        <f t="shared" si="8"/>
        <v>1.5670268763072755E-2</v>
      </c>
      <c r="E24" s="44">
        <f t="shared" si="2"/>
        <v>-3.3435785806829564E-2</v>
      </c>
      <c r="F24" s="76">
        <f t="shared" si="9"/>
        <v>8.7876107896951827E-2</v>
      </c>
      <c r="G24" s="76">
        <f t="shared" si="3"/>
        <v>0.56235220838026012</v>
      </c>
      <c r="H24" s="44">
        <f t="shared" si="10"/>
        <v>4.7805592638140569E-2</v>
      </c>
      <c r="I24" s="44">
        <f t="shared" si="4"/>
        <v>2.2202326717602295E-2</v>
      </c>
      <c r="J24" s="45">
        <f t="shared" si="5"/>
        <v>5.9110041421058863E-2</v>
      </c>
      <c r="AP24" s="9">
        <f t="shared" si="6"/>
        <v>1.054513294763422E-3</v>
      </c>
    </row>
    <row r="25" spans="1:42">
      <c r="A25" s="79">
        <f t="shared" si="1"/>
        <v>0.56357520382839754</v>
      </c>
      <c r="B25" s="44">
        <f t="shared" si="0"/>
        <v>0.82535821648048469</v>
      </c>
      <c r="C25" s="43">
        <f t="shared" si="7"/>
        <v>0.56243644945694715</v>
      </c>
      <c r="D25" s="65">
        <f t="shared" si="8"/>
        <v>1.5459750918764677E-2</v>
      </c>
      <c r="E25" s="44">
        <f t="shared" si="2"/>
        <v>-4.3005750825390411E-2</v>
      </c>
      <c r="F25" s="76">
        <f t="shared" si="9"/>
        <v>0.13088185872234223</v>
      </c>
      <c r="G25" s="76">
        <f t="shared" si="3"/>
        <v>0.56514578613306565</v>
      </c>
      <c r="H25" s="44">
        <f t="shared" si="10"/>
        <v>4.7355119789197125E-2</v>
      </c>
      <c r="I25" s="44">
        <f t="shared" si="4"/>
        <v>2.1993113844845813E-2</v>
      </c>
      <c r="J25" s="45">
        <f t="shared" si="5"/>
        <v>5.8553046573998534E-2</v>
      </c>
      <c r="AP25" s="9">
        <f t="shared" si="6"/>
        <v>1.5705823046681068E-3</v>
      </c>
    </row>
    <row r="26" spans="1:42">
      <c r="A26" s="79">
        <f t="shared" si="1"/>
        <v>0.56585271257129843</v>
      </c>
      <c r="B26" s="44">
        <f t="shared" si="0"/>
        <v>0.82553265764595152</v>
      </c>
      <c r="C26" s="43">
        <f t="shared" si="7"/>
        <v>0.56471395819984793</v>
      </c>
      <c r="D26" s="65">
        <f t="shared" si="8"/>
        <v>1.5252894890897926E-2</v>
      </c>
      <c r="E26" s="44">
        <f t="shared" si="2"/>
        <v>-5.3626437778528872E-2</v>
      </c>
      <c r="F26" s="76">
        <f t="shared" si="9"/>
        <v>0.18450829650087111</v>
      </c>
      <c r="G26" s="76">
        <f t="shared" si="3"/>
        <v>0.56806681212930887</v>
      </c>
      <c r="H26" s="44">
        <f t="shared" si="10"/>
        <v>4.6910686556921488E-2</v>
      </c>
      <c r="I26" s="44">
        <f t="shared" si="4"/>
        <v>2.1786705948141461E-2</v>
      </c>
      <c r="J26" s="45">
        <f t="shared" si="5"/>
        <v>5.8003519514109127E-2</v>
      </c>
      <c r="AP26" s="9">
        <f t="shared" si="6"/>
        <v>2.2140995580104536E-3</v>
      </c>
    </row>
    <row r="27" spans="1:42">
      <c r="A27" s="79">
        <f t="shared" si="1"/>
        <v>0.56813022131419932</v>
      </c>
      <c r="B27" s="44">
        <f t="shared" si="0"/>
        <v>0.82573234028402487</v>
      </c>
      <c r="C27" s="43">
        <f t="shared" si="7"/>
        <v>0.56699146694274893</v>
      </c>
      <c r="D27" s="65">
        <f t="shared" si="8"/>
        <v>1.5049622599490281E-2</v>
      </c>
      <c r="E27" s="44">
        <f t="shared" si="2"/>
        <v>-6.5477819487147704E-2</v>
      </c>
      <c r="F27" s="76">
        <f t="shared" si="9"/>
        <v>0.24998611598801881</v>
      </c>
      <c r="G27" s="76">
        <f t="shared" si="3"/>
        <v>0.5711300547060556</v>
      </c>
      <c r="H27" s="44">
        <f t="shared" si="10"/>
        <v>4.647218809590932E-2</v>
      </c>
      <c r="I27" s="44">
        <f t="shared" si="4"/>
        <v>2.1583054334192206E-2</v>
      </c>
      <c r="J27" s="45">
        <f t="shared" si="5"/>
        <v>5.7461330603499942E-2</v>
      </c>
      <c r="AP27" s="9">
        <f t="shared" si="6"/>
        <v>2.9998333918562258E-3</v>
      </c>
    </row>
    <row r="28" spans="1:42">
      <c r="A28" s="79">
        <f t="shared" si="1"/>
        <v>0.57040773005710022</v>
      </c>
      <c r="B28" s="44">
        <f t="shared" si="0"/>
        <v>0.82595686206668617</v>
      </c>
      <c r="C28" s="43">
        <f t="shared" si="7"/>
        <v>0.56926897568564971</v>
      </c>
      <c r="D28" s="65">
        <f t="shared" si="8"/>
        <v>1.4849857933725294E-2</v>
      </c>
      <c r="E28" s="44">
        <f t="shared" si="2"/>
        <v>-7.8783500049004362E-2</v>
      </c>
      <c r="F28" s="76">
        <f t="shared" si="9"/>
        <v>0.32876961603702315</v>
      </c>
      <c r="G28" s="76">
        <f t="shared" si="3"/>
        <v>0.57435296544954451</v>
      </c>
      <c r="H28" s="44">
        <f t="shared" si="10"/>
        <v>4.6039521791907276E-2</v>
      </c>
      <c r="I28" s="44">
        <f t="shared" si="4"/>
        <v>2.1382111345913325E-2</v>
      </c>
      <c r="J28" s="45">
        <f t="shared" si="5"/>
        <v>5.6926352963025034E-2</v>
      </c>
      <c r="AP28" s="9">
        <f t="shared" si="6"/>
        <v>3.9452353924442777E-3</v>
      </c>
    </row>
    <row r="29" spans="1:42">
      <c r="A29" s="79">
        <f t="shared" si="1"/>
        <v>0.57268523880000111</v>
      </c>
      <c r="B29" s="44">
        <f t="shared" si="0"/>
        <v>0.82620582865005754</v>
      </c>
      <c r="C29" s="43">
        <f t="shared" si="7"/>
        <v>0.57154648442855072</v>
      </c>
      <c r="D29" s="65">
        <f t="shared" si="8"/>
        <v>1.4653526694676983E-2</v>
      </c>
      <c r="E29" s="44">
        <f t="shared" si="2"/>
        <v>-9.3824789428649552E-2</v>
      </c>
      <c r="F29" s="76">
        <f t="shared" si="9"/>
        <v>0.42259440546567273</v>
      </c>
      <c r="G29" s="76">
        <f t="shared" si="3"/>
        <v>0.57775637166558913</v>
      </c>
      <c r="H29" s="44">
        <f t="shared" si="10"/>
        <v>4.5612587205654836E-2</v>
      </c>
      <c r="I29" s="44">
        <f t="shared" si="4"/>
        <v>2.1183830336350889E-2</v>
      </c>
      <c r="J29" s="45">
        <f t="shared" si="5"/>
        <v>5.6398462402845462E-2</v>
      </c>
      <c r="AP29" s="9">
        <f t="shared" si="6"/>
        <v>5.0711328655880725E-3</v>
      </c>
    </row>
    <row r="30" spans="1:42">
      <c r="A30" s="79">
        <f t="shared" si="1"/>
        <v>0.574962747542902</v>
      </c>
      <c r="B30" s="44">
        <f t="shared" si="0"/>
        <v>0.82647885348502059</v>
      </c>
      <c r="C30" s="43">
        <f t="shared" si="7"/>
        <v>0.5738239931714515</v>
      </c>
      <c r="D30" s="65">
        <f t="shared" si="8"/>
        <v>1.446055653992033E-2</v>
      </c>
      <c r="E30" s="44">
        <f t="shared" si="2"/>
        <v>-0.11096060201562935</v>
      </c>
      <c r="F30" s="76">
        <f t="shared" si="9"/>
        <v>0.53355500748130202</v>
      </c>
      <c r="G30" s="76">
        <f t="shared" si="3"/>
        <v>0.58136540763267763</v>
      </c>
      <c r="H30" s="44">
        <f t="shared" si="10"/>
        <v>4.5191286018356605E-2</v>
      </c>
      <c r="I30" s="44">
        <f t="shared" si="4"/>
        <v>2.0988165643357495E-2</v>
      </c>
      <c r="J30" s="45">
        <f t="shared" si="5"/>
        <v>5.5877537355007625E-2</v>
      </c>
      <c r="AP30" s="9">
        <f t="shared" si="6"/>
        <v>6.4026600897756246E-3</v>
      </c>
    </row>
    <row r="31" spans="1:42">
      <c r="A31" s="79">
        <f t="shared" si="1"/>
        <v>0.57724025628580289</v>
      </c>
      <c r="B31" s="44">
        <f t="shared" si="0"/>
        <v>0.82677555763305599</v>
      </c>
      <c r="C31" s="43">
        <f t="shared" si="7"/>
        <v>0.5761015019143525</v>
      </c>
      <c r="D31" s="65">
        <f t="shared" si="8"/>
        <v>1.4270876929957894E-2</v>
      </c>
      <c r="E31" s="44">
        <f t="shared" si="2"/>
        <v>-0.13065619898692604</v>
      </c>
      <c r="F31" s="76">
        <f t="shared" si="9"/>
        <v>0.66421120646822807</v>
      </c>
      <c r="G31" s="76">
        <f t="shared" si="3"/>
        <v>0.58521079076342164</v>
      </c>
      <c r="H31" s="44">
        <f t="shared" si="10"/>
        <v>4.4775521978730908E-2</v>
      </c>
      <c r="I31" s="44">
        <f t="shared" si="4"/>
        <v>2.0795072565000065E-2</v>
      </c>
      <c r="J31" s="45">
        <f t="shared" si="5"/>
        <v>5.5363458807970542E-2</v>
      </c>
      <c r="AP31" s="9">
        <f t="shared" si="6"/>
        <v>7.9705344776187376E-3</v>
      </c>
    </row>
    <row r="32" spans="1:42">
      <c r="A32" s="79">
        <f t="shared" si="1"/>
        <v>0.57951776502870378</v>
      </c>
      <c r="B32" s="44">
        <f t="shared" si="0"/>
        <v>0.8270955695871377</v>
      </c>
      <c r="C32" s="43">
        <f t="shared" si="7"/>
        <v>0.57837901065725328</v>
      </c>
      <c r="D32" s="65">
        <f t="shared" si="8"/>
        <v>1.4084419076396574E-2</v>
      </c>
      <c r="E32" s="44">
        <f t="shared" si="2"/>
        <v>-0.15352572700252298</v>
      </c>
      <c r="F32" s="76">
        <f t="shared" si="9"/>
        <v>0.81773693347075105</v>
      </c>
      <c r="G32" s="76">
        <f t="shared" si="3"/>
        <v>0.58933060823035277</v>
      </c>
      <c r="H32" s="44">
        <f t="shared" si="10"/>
        <v>4.4365200851583901E-2</v>
      </c>
      <c r="I32" s="44">
        <f t="shared" si="4"/>
        <v>2.0604507335676155E-2</v>
      </c>
      <c r="J32" s="45">
        <f t="shared" si="5"/>
        <v>5.4856110243019493E-2</v>
      </c>
      <c r="AP32" s="9">
        <f t="shared" si="6"/>
        <v>9.8128432016490134E-3</v>
      </c>
    </row>
    <row r="33" spans="1:42">
      <c r="A33" s="79">
        <f t="shared" si="1"/>
        <v>0.58179527377160467</v>
      </c>
      <c r="B33" s="44">
        <f t="shared" si="0"/>
        <v>0.82743852509752802</v>
      </c>
      <c r="C33" s="43">
        <f t="shared" si="7"/>
        <v>0.58065651940015428</v>
      </c>
      <c r="D33" s="65">
        <f t="shared" si="8"/>
        <v>1.3901115891810216E-2</v>
      </c>
      <c r="E33" s="44">
        <f t="shared" si="2"/>
        <v>-0.18039695100531813</v>
      </c>
      <c r="F33" s="76">
        <f t="shared" si="9"/>
        <v>0.99813388447606921</v>
      </c>
      <c r="G33" s="76">
        <f t="shared" si="3"/>
        <v>0.5937728803853175</v>
      </c>
      <c r="H33" s="44">
        <f t="shared" si="10"/>
        <v>4.3960230367858392E-2</v>
      </c>
      <c r="I33" s="44">
        <f t="shared" si="4"/>
        <v>2.0416427102915153E-2</v>
      </c>
      <c r="J33" s="45">
        <f t="shared" si="5"/>
        <v>5.4355377572502979E-2</v>
      </c>
      <c r="AP33" s="9">
        <f t="shared" si="6"/>
        <v>1.1977606613712831E-2</v>
      </c>
    </row>
    <row r="34" spans="1:42">
      <c r="A34" s="79">
        <f t="shared" si="1"/>
        <v>0.58407278251450556</v>
      </c>
      <c r="B34" s="44">
        <f t="shared" si="0"/>
        <v>0.82780406700231557</v>
      </c>
      <c r="C34" s="43">
        <f t="shared" si="7"/>
        <v>0.58293402814305506</v>
      </c>
      <c r="D34" s="65">
        <f t="shared" si="8"/>
        <v>1.3720901941227426E-2</v>
      </c>
      <c r="E34" s="44">
        <f t="shared" si="2"/>
        <v>-0.21241297718963939</v>
      </c>
      <c r="F34" s="76">
        <f t="shared" si="9"/>
        <v>1.2105468616657087</v>
      </c>
      <c r="G34" s="76">
        <f t="shared" si="3"/>
        <v>0.59859934485449406</v>
      </c>
      <c r="H34" s="44">
        <f t="shared" si="10"/>
        <v>4.3560520176110715E-2</v>
      </c>
      <c r="I34" s="44">
        <f t="shared" si="4"/>
        <v>2.02307899048427E-2</v>
      </c>
      <c r="J34" s="45">
        <f t="shared" si="5"/>
        <v>5.3861149079835476E-2</v>
      </c>
      <c r="AP34" s="9">
        <f t="shared" si="6"/>
        <v>1.4526562339988504E-2</v>
      </c>
    </row>
    <row r="35" spans="1:42">
      <c r="A35" s="79">
        <f t="shared" si="1"/>
        <v>0.58635029125740645</v>
      </c>
      <c r="B35" s="44">
        <f t="shared" si="0"/>
        <v>0.82819184506255406</v>
      </c>
      <c r="C35" s="43">
        <f t="shared" si="7"/>
        <v>0.58521153688595606</v>
      </c>
      <c r="D35" s="65">
        <f t="shared" si="8"/>
        <v>1.3543713395185284E-2</v>
      </c>
      <c r="E35" s="44">
        <f t="shared" si="2"/>
        <v>-0.25119822205853382</v>
      </c>
      <c r="F35" s="76">
        <f t="shared" si="9"/>
        <v>1.4617450837242425</v>
      </c>
      <c r="G35" s="76">
        <f t="shared" si="3"/>
        <v>0.6038912322620974</v>
      </c>
      <c r="H35" s="44">
        <f t="shared" si="10"/>
        <v>4.3165981795368229E-2</v>
      </c>
      <c r="I35" s="44">
        <f t="shared" si="4"/>
        <v>2.0047554648286343E-2</v>
      </c>
      <c r="J35" s="45">
        <f t="shared" si="5"/>
        <v>5.3373315361207346E-2</v>
      </c>
      <c r="AP35" s="9">
        <f t="shared" si="6"/>
        <v>1.7540941004690912E-2</v>
      </c>
    </row>
    <row r="36" spans="1:42">
      <c r="A36" s="79">
        <f t="shared" si="1"/>
        <v>0.58862780000030734</v>
      </c>
      <c r="B36" s="44">
        <f t="shared" si="0"/>
        <v>0.8286015158018567</v>
      </c>
      <c r="C36" s="43">
        <f t="shared" si="7"/>
        <v>0.58748904562885684</v>
      </c>
      <c r="D36" s="65">
        <f t="shared" si="8"/>
        <v>1.3369487984293086E-2</v>
      </c>
      <c r="E36" s="44">
        <f t="shared" si="2"/>
        <v>-0.29914153610782884</v>
      </c>
      <c r="F36" s="76">
        <f t="shared" si="9"/>
        <v>1.7608866198320714</v>
      </c>
      <c r="G36" s="76">
        <f t="shared" si="3"/>
        <v>0.60975843943829222</v>
      </c>
      <c r="H36" s="44">
        <f t="shared" si="10"/>
        <v>4.2776528569324207E-2</v>
      </c>
      <c r="I36" s="44">
        <f t="shared" si="4"/>
        <v>1.9866681087502263E-2</v>
      </c>
      <c r="J36" s="45">
        <f t="shared" si="5"/>
        <v>5.2891769268948244E-2</v>
      </c>
      <c r="AP36" s="9">
        <f t="shared" si="6"/>
        <v>2.1130639437984856E-2</v>
      </c>
    </row>
    <row r="37" spans="1:42">
      <c r="A37" s="79">
        <f t="shared" si="1"/>
        <v>0.59090530874320824</v>
      </c>
      <c r="B37" s="44">
        <f t="shared" si="0"/>
        <v>0.82903274235030933</v>
      </c>
      <c r="C37" s="43">
        <f t="shared" si="7"/>
        <v>0.58976655437175785</v>
      </c>
      <c r="D37" s="65">
        <f t="shared" si="8"/>
        <v>1.3198164955251373E-2</v>
      </c>
      <c r="E37" s="44">
        <f t="shared" si="2"/>
        <v>-0.35990582645788782</v>
      </c>
      <c r="F37" s="76">
        <f t="shared" si="9"/>
        <v>2.1207924462899594</v>
      </c>
      <c r="G37" s="76">
        <f t="shared" si="3"/>
        <v>0.61635481809868775</v>
      </c>
      <c r="H37" s="44">
        <f t="shared" si="10"/>
        <v>4.2392075621825787E-2</v>
      </c>
      <c r="I37" s="44">
        <f t="shared" si="4"/>
        <v>1.9688129803502596E-2</v>
      </c>
      <c r="J37" s="45">
        <f t="shared" si="5"/>
        <v>5.2416405856489483E-2</v>
      </c>
      <c r="AP37" s="9">
        <f t="shared" si="6"/>
        <v>2.5449509355479513E-2</v>
      </c>
    </row>
    <row r="38" spans="1:42">
      <c r="A38" s="79">
        <f t="shared" si="1"/>
        <v>0.59318281748610913</v>
      </c>
      <c r="B38" s="44">
        <f t="shared" si="0"/>
        <v>0.82948519429257184</v>
      </c>
      <c r="C38" s="43">
        <f t="shared" si="7"/>
        <v>0.59204406311465863</v>
      </c>
      <c r="D38" s="65">
        <f t="shared" si="8"/>
        <v>1.302968502827485E-2</v>
      </c>
      <c r="E38" s="44">
        <f t="shared" si="2"/>
        <v>-0.43940810037857447</v>
      </c>
      <c r="F38" s="76">
        <f t="shared" si="9"/>
        <v>2.560200546668534</v>
      </c>
      <c r="G38" s="76">
        <f t="shared" si="3"/>
        <v>0.62390522404613158</v>
      </c>
      <c r="H38" s="44">
        <f t="shared" si="10"/>
        <v>4.201253981361517E-2</v>
      </c>
      <c r="I38" s="44">
        <f t="shared" si="4"/>
        <v>1.9511862183964741E-2</v>
      </c>
      <c r="J38" s="45">
        <f t="shared" si="5"/>
        <v>5.1947122324875951E-2</v>
      </c>
      <c r="AP38" s="9">
        <f t="shared" si="6"/>
        <v>3.0722406560022408E-2</v>
      </c>
    </row>
    <row r="39" spans="1:42">
      <c r="A39" s="79">
        <f t="shared" si="1"/>
        <v>0.59546032622901002</v>
      </c>
      <c r="B39" s="44">
        <f t="shared" si="0"/>
        <v>0.82995854752003773</v>
      </c>
      <c r="C39" s="43">
        <f t="shared" si="7"/>
        <v>0.59432157185755963</v>
      </c>
      <c r="D39" s="65">
        <f t="shared" si="8"/>
        <v>1.2863990355868575E-2</v>
      </c>
      <c r="E39" s="44">
        <f t="shared" si="2"/>
        <v>-0.5478686472026929</v>
      </c>
      <c r="F39" s="76">
        <f t="shared" si="9"/>
        <v>3.108069193871227</v>
      </c>
      <c r="G39" s="76">
        <f t="shared" si="3"/>
        <v>0.63275715655546472</v>
      </c>
      <c r="H39" s="44">
        <f t="shared" si="10"/>
        <v>4.1637839700282689E-2</v>
      </c>
      <c r="I39" s="44">
        <f t="shared" si="4"/>
        <v>1.9337840403703555E-2</v>
      </c>
      <c r="J39" s="45">
        <f t="shared" si="5"/>
        <v>5.1483817970776433E-2</v>
      </c>
      <c r="AP39" s="9">
        <f t="shared" si="6"/>
        <v>3.7296830326454727E-2</v>
      </c>
    </row>
    <row r="40" spans="1:42">
      <c r="A40" s="80">
        <f t="shared" ref="A40:A59" si="11">A39-0.2*($A$19-hn)/20</f>
        <v>0.59602970341473527</v>
      </c>
      <c r="B40" s="44">
        <f t="shared" si="0"/>
        <v>0.83008011426004902</v>
      </c>
      <c r="C40" s="43">
        <f t="shared" si="7"/>
        <v>0.59574501482187259</v>
      </c>
      <c r="D40" s="65">
        <f t="shared" si="8"/>
        <v>1.2761820430835992E-2</v>
      </c>
      <c r="E40" s="44">
        <f t="shared" si="2"/>
        <v>-0.15957400863860963</v>
      </c>
      <c r="F40" s="76">
        <f t="shared" si="9"/>
        <v>3.2676432025098365</v>
      </c>
      <c r="G40" s="76">
        <f t="shared" si="3"/>
        <v>0.63524142184485333</v>
      </c>
      <c r="H40" s="44">
        <f t="shared" si="10"/>
        <v>4.1406072234306902E-2</v>
      </c>
      <c r="I40" s="44">
        <f t="shared" si="4"/>
        <v>1.9230200759090096E-2</v>
      </c>
      <c r="J40" s="45">
        <f t="shared" si="5"/>
        <v>5.1197245129444208E-2</v>
      </c>
      <c r="AP40" s="9">
        <f t="shared" si="6"/>
        <v>3.9211718430118038E-2</v>
      </c>
    </row>
    <row r="41" spans="1:42">
      <c r="A41" s="80">
        <f t="shared" si="11"/>
        <v>0.59659908060046052</v>
      </c>
      <c r="B41" s="44">
        <f t="shared" si="0"/>
        <v>0.83020296252078696</v>
      </c>
      <c r="C41" s="43">
        <f t="shared" si="7"/>
        <v>0.59631439200759795</v>
      </c>
      <c r="D41" s="65">
        <f t="shared" si="8"/>
        <v>1.272124788196294E-2</v>
      </c>
      <c r="E41" s="44">
        <f t="shared" si="2"/>
        <v>-0.17032737815963855</v>
      </c>
      <c r="F41" s="76">
        <f t="shared" si="9"/>
        <v>3.4379705806694751</v>
      </c>
      <c r="G41" s="76">
        <f t="shared" si="3"/>
        <v>0.63785472756849426</v>
      </c>
      <c r="H41" s="44">
        <f t="shared" si="10"/>
        <v>4.1313881116321151E-2</v>
      </c>
      <c r="I41" s="44">
        <f t="shared" si="4"/>
        <v>1.9187384485741615E-2</v>
      </c>
      <c r="J41" s="45">
        <f t="shared" si="5"/>
        <v>5.1083253847209922E-2</v>
      </c>
      <c r="AP41" s="9">
        <f t="shared" si="6"/>
        <v>4.1255646968033702E-2</v>
      </c>
    </row>
    <row r="42" spans="1:42">
      <c r="A42" s="80">
        <f t="shared" si="11"/>
        <v>0.59716845778618577</v>
      </c>
      <c r="B42" s="44">
        <f t="shared" si="0"/>
        <v>0.83032708741705918</v>
      </c>
      <c r="C42" s="43">
        <f t="shared" si="7"/>
        <v>0.59688376919332309</v>
      </c>
      <c r="D42" s="65">
        <f t="shared" si="8"/>
        <v>1.2680842858701961E-2</v>
      </c>
      <c r="E42" s="44">
        <f t="shared" si="2"/>
        <v>-0.18231063847665616</v>
      </c>
      <c r="F42" s="76">
        <f t="shared" si="9"/>
        <v>3.6202812191461313</v>
      </c>
      <c r="G42" s="76">
        <f t="shared" si="3"/>
        <v>0.64061183241593933</v>
      </c>
      <c r="H42" s="44">
        <f t="shared" si="10"/>
        <v>4.12219829539524E-2</v>
      </c>
      <c r="I42" s="44">
        <f t="shared" si="4"/>
        <v>1.9144704269619155E-2</v>
      </c>
      <c r="J42" s="45">
        <f t="shared" si="5"/>
        <v>5.0969624794951256E-2</v>
      </c>
      <c r="AP42" s="9">
        <f t="shared" si="6"/>
        <v>4.3443374629753576E-2</v>
      </c>
    </row>
    <row r="43" spans="1:42">
      <c r="A43" s="80">
        <f t="shared" si="11"/>
        <v>0.59773783497191102</v>
      </c>
      <c r="B43" s="44">
        <f t="shared" si="0"/>
        <v>0.83045248408692918</v>
      </c>
      <c r="C43" s="43">
        <f t="shared" si="7"/>
        <v>0.59745314637904845</v>
      </c>
      <c r="D43" s="65">
        <f t="shared" si="8"/>
        <v>1.264060451051629E-2</v>
      </c>
      <c r="E43" s="44">
        <f t="shared" si="2"/>
        <v>-0.19574740391529585</v>
      </c>
      <c r="F43" s="76">
        <f t="shared" si="9"/>
        <v>3.8160286230614271</v>
      </c>
      <c r="G43" s="76">
        <f t="shared" si="3"/>
        <v>0.64353017844864813</v>
      </c>
      <c r="H43" s="44">
        <f t="shared" si="10"/>
        <v>4.1130376538151062E-2</v>
      </c>
      <c r="I43" s="44">
        <f t="shared" si="4"/>
        <v>1.9102159549204429E-2</v>
      </c>
      <c r="J43" s="45">
        <f t="shared" si="5"/>
        <v>5.0856356477718183E-2</v>
      </c>
      <c r="AP43" s="9">
        <f t="shared" si="6"/>
        <v>4.5792343476737128E-2</v>
      </c>
    </row>
    <row r="44" spans="1:42">
      <c r="A44" s="80">
        <f t="shared" si="11"/>
        <v>0.59830721215763627</v>
      </c>
      <c r="B44" s="44">
        <f t="shared" si="0"/>
        <v>0.83057914769158392</v>
      </c>
      <c r="C44" s="43">
        <f t="shared" si="7"/>
        <v>0.59802252356477359</v>
      </c>
      <c r="D44" s="65">
        <f t="shared" si="8"/>
        <v>1.2600531991992269E-2</v>
      </c>
      <c r="E44" s="44">
        <f t="shared" si="2"/>
        <v>-0.21091899572999367</v>
      </c>
      <c r="F44" s="76">
        <f t="shared" si="9"/>
        <v>4.0269476187914206</v>
      </c>
      <c r="G44" s="76">
        <f t="shared" si="3"/>
        <v>0.6466305835831333</v>
      </c>
      <c r="H44" s="44">
        <f t="shared" si="10"/>
        <v>4.1039060666003289E-2</v>
      </c>
      <c r="I44" s="44">
        <f t="shared" si="4"/>
        <v>1.905974976582879E-2</v>
      </c>
      <c r="J44" s="45">
        <f t="shared" si="5"/>
        <v>5.0743447408147346E-2</v>
      </c>
      <c r="AP44" s="9">
        <f t="shared" si="6"/>
        <v>4.8323371425497051E-2</v>
      </c>
    </row>
    <row r="45" spans="1:42">
      <c r="A45" s="80">
        <f t="shared" si="11"/>
        <v>0.59887658934336152</v>
      </c>
      <c r="B45" s="44">
        <f t="shared" si="0"/>
        <v>0.83070707341520134</v>
      </c>
      <c r="C45" s="43">
        <f t="shared" si="7"/>
        <v>0.59859190075049895</v>
      </c>
      <c r="D45" s="65">
        <f t="shared" si="8"/>
        <v>1.2560624462803479E-2</v>
      </c>
      <c r="E45" s="44">
        <f t="shared" si="2"/>
        <v>-0.22818434104303439</v>
      </c>
      <c r="F45" s="76">
        <f t="shared" si="9"/>
        <v>4.255131959834455</v>
      </c>
      <c r="G45" s="76">
        <f t="shared" si="3"/>
        <v>0.64993817286137501</v>
      </c>
      <c r="H45" s="44">
        <f t="shared" si="10"/>
        <v>4.0948034140693618E-2</v>
      </c>
      <c r="I45" s="44">
        <f t="shared" si="4"/>
        <v>1.9017474363655845E-2</v>
      </c>
      <c r="J45" s="45">
        <f t="shared" si="5"/>
        <v>5.0630896106415822E-2</v>
      </c>
      <c r="AP45" s="9">
        <f t="shared" si="6"/>
        <v>5.1061583518013459E-2</v>
      </c>
    </row>
    <row r="46" spans="1:42">
      <c r="A46" s="81">
        <f t="shared" si="11"/>
        <v>0.59944596652908677</v>
      </c>
      <c r="B46" s="44">
        <f t="shared" si="0"/>
        <v>0.83083625646482018</v>
      </c>
      <c r="C46" s="43">
        <f t="shared" si="7"/>
        <v>0.59916127793622409</v>
      </c>
      <c r="D46" s="65">
        <f t="shared" si="8"/>
        <v>1.252088108767545E-2</v>
      </c>
      <c r="E46" s="44">
        <f t="shared" si="2"/>
        <v>-0.24800871576150055</v>
      </c>
      <c r="F46" s="76">
        <f t="shared" si="9"/>
        <v>4.5031406755959553</v>
      </c>
      <c r="G46" s="76">
        <f t="shared" si="3"/>
        <v>0.65348365463623825</v>
      </c>
      <c r="H46" s="44">
        <f t="shared" si="10"/>
        <v>4.0857295771468551E-2</v>
      </c>
      <c r="I46" s="44">
        <f t="shared" si="4"/>
        <v>1.897533278966456E-2</v>
      </c>
      <c r="J46" s="45">
        <f t="shared" si="5"/>
        <v>5.0518701100196108E-2</v>
      </c>
      <c r="AP46" s="9">
        <f t="shared" si="6"/>
        <v>5.4037688107151462E-2</v>
      </c>
    </row>
    <row r="47" spans="1:42">
      <c r="A47" s="81">
        <f t="shared" si="11"/>
        <v>0.60001534371481202</v>
      </c>
      <c r="B47" s="44">
        <f t="shared" si="0"/>
        <v>0.83096669207020935</v>
      </c>
      <c r="C47" s="43">
        <f t="shared" si="7"/>
        <v>0.59973065512194945</v>
      </c>
      <c r="D47" s="65">
        <f t="shared" si="8"/>
        <v>1.2481301036350433E-2</v>
      </c>
      <c r="E47" s="44">
        <f t="shared" si="2"/>
        <v>-0.27100628408827693</v>
      </c>
      <c r="F47" s="76">
        <f t="shared" si="9"/>
        <v>4.7741469596842325</v>
      </c>
      <c r="G47" s="76">
        <f t="shared" si="3"/>
        <v>0.65730510723102276</v>
      </c>
      <c r="H47" s="44">
        <f t="shared" si="10"/>
        <v>4.0766844373599932E-2</v>
      </c>
      <c r="I47" s="44">
        <f t="shared" si="4"/>
        <v>1.8933324493632255E-2</v>
      </c>
      <c r="J47" s="45">
        <f t="shared" si="5"/>
        <v>5.0406860924610858E-2</v>
      </c>
      <c r="AP47" s="9">
        <f t="shared" si="6"/>
        <v>5.728976351621079E-2</v>
      </c>
    </row>
    <row r="48" spans="1:42">
      <c r="A48" s="81">
        <f t="shared" si="11"/>
        <v>0.60058472090053727</v>
      </c>
      <c r="B48" s="44">
        <f t="shared" si="0"/>
        <v>0.83109837548373877</v>
      </c>
      <c r="C48" s="43">
        <f t="shared" si="7"/>
        <v>0.60030003230767459</v>
      </c>
      <c r="D48" s="65">
        <f t="shared" si="8"/>
        <v>1.2441883483552661E-2</v>
      </c>
      <c r="E48" s="44">
        <f t="shared" si="2"/>
        <v>-0.29800483256517429</v>
      </c>
      <c r="F48" s="76">
        <f t="shared" si="9"/>
        <v>5.0721517922494073</v>
      </c>
      <c r="G48" s="76">
        <f t="shared" si="3"/>
        <v>0.66145054240753021</v>
      </c>
      <c r="H48" s="44">
        <f t="shared" si="10"/>
        <v>4.0676678768349052E-2</v>
      </c>
      <c r="I48" s="44">
        <f t="shared" si="4"/>
        <v>1.8891448928117911E-2</v>
      </c>
      <c r="J48" s="45">
        <f t="shared" si="5"/>
        <v>5.0295374122188451E-2</v>
      </c>
      <c r="AP48" s="9">
        <f t="shared" si="6"/>
        <v>6.0865821506992886E-2</v>
      </c>
    </row>
    <row r="49" spans="1:42">
      <c r="A49" s="81">
        <f t="shared" si="11"/>
        <v>0.60115409808626252</v>
      </c>
      <c r="B49" s="44">
        <f t="shared" si="0"/>
        <v>0.83123130198025108</v>
      </c>
      <c r="C49" s="43">
        <f t="shared" si="7"/>
        <v>0.60086940949339995</v>
      </c>
      <c r="D49" s="65">
        <f t="shared" si="8"/>
        <v>1.2402627608953618E-2</v>
      </c>
      <c r="E49" s="44">
        <f t="shared" si="2"/>
        <v>-0.33014749499610685</v>
      </c>
      <c r="F49" s="76">
        <f t="shared" si="9"/>
        <v>5.4022992872455138</v>
      </c>
      <c r="G49" s="76">
        <f t="shared" si="3"/>
        <v>0.66598168953320869</v>
      </c>
      <c r="H49" s="44">
        <f t="shared" si="10"/>
        <v>4.058679778293036E-2</v>
      </c>
      <c r="I49" s="44">
        <f t="shared" si="4"/>
        <v>1.8849705548445349E-2</v>
      </c>
      <c r="J49" s="45">
        <f t="shared" si="5"/>
        <v>5.0184239242818181E-2</v>
      </c>
      <c r="AP49" s="9">
        <f t="shared" si="6"/>
        <v>6.4827591446946164E-2</v>
      </c>
    </row>
    <row r="50" spans="1:42">
      <c r="A50" s="81">
        <f t="shared" si="11"/>
        <v>0.60172347527198777</v>
      </c>
      <c r="B50" s="44">
        <f t="shared" si="0"/>
        <v>0.83136546685693413</v>
      </c>
      <c r="C50" s="43">
        <f t="shared" si="7"/>
        <v>0.60143878667912509</v>
      </c>
      <c r="D50" s="65">
        <f t="shared" si="8"/>
        <v>1.2363532597137883E-2</v>
      </c>
      <c r="E50" s="44">
        <f t="shared" si="2"/>
        <v>-0.36905872469027862</v>
      </c>
      <c r="F50" s="76">
        <f t="shared" si="9"/>
        <v>5.7713580119357921</v>
      </c>
      <c r="G50" s="76">
        <f t="shared" si="3"/>
        <v>0.67097977141521725</v>
      </c>
      <c r="H50" s="44">
        <f t="shared" si="10"/>
        <v>4.0497200250476165E-2</v>
      </c>
      <c r="I50" s="44">
        <f t="shared" si="4"/>
        <v>1.8808093812686801E-2</v>
      </c>
      <c r="J50" s="45">
        <f t="shared" si="5"/>
        <v>5.0073454843706532E-2</v>
      </c>
      <c r="AP50" s="9">
        <f t="shared" si="6"/>
        <v>6.9256296143229507E-2</v>
      </c>
    </row>
    <row r="51" spans="1:42">
      <c r="A51" s="81">
        <f t="shared" si="11"/>
        <v>0.60229285245771302</v>
      </c>
      <c r="B51" s="44">
        <f t="shared" si="0"/>
        <v>0.83150086543319446</v>
      </c>
      <c r="C51" s="43">
        <f t="shared" ref="C51:C54" si="12">AVERAGE(A50,A51)</f>
        <v>0.60200816386485045</v>
      </c>
      <c r="D51" s="65">
        <f t="shared" si="8"/>
        <v>1.2324597637568957E-2</v>
      </c>
      <c r="E51" s="44">
        <f t="shared" si="2"/>
        <v>-0.41712742358318039</v>
      </c>
      <c r="F51" s="76">
        <f t="shared" ref="F51:F54" si="13">F50-E51</f>
        <v>6.1884854355189729</v>
      </c>
      <c r="G51" s="76">
        <f t="shared" si="3"/>
        <v>0.67655467768394073</v>
      </c>
      <c r="H51" s="44">
        <f t="shared" si="10"/>
        <v>4.040788501000088E-2</v>
      </c>
      <c r="I51" s="44">
        <f t="shared" si="4"/>
        <v>1.8766613181646335E-2</v>
      </c>
      <c r="J51" s="45">
        <f t="shared" si="5"/>
        <v>4.9963019489333078E-2</v>
      </c>
      <c r="AP51" s="9">
        <f t="shared" si="6"/>
        <v>7.4261825226227679E-2</v>
      </c>
    </row>
    <row r="52" spans="1:42">
      <c r="A52" s="81">
        <f t="shared" si="11"/>
        <v>0.60286222964343827</v>
      </c>
      <c r="B52" s="44">
        <f t="shared" si="0"/>
        <v>0.83163749305053081</v>
      </c>
      <c r="C52" s="43">
        <f t="shared" si="12"/>
        <v>0.60257754105057559</v>
      </c>
      <c r="D52" s="65">
        <f t="shared" si="8"/>
        <v>1.2285821924555617E-2</v>
      </c>
      <c r="E52" s="44">
        <f t="shared" si="2"/>
        <v>-0.47801657465140818</v>
      </c>
      <c r="F52" s="76">
        <f t="shared" si="13"/>
        <v>6.6665020101703814</v>
      </c>
      <c r="G52" s="76">
        <f t="shared" si="3"/>
        <v>0.68286025376548287</v>
      </c>
      <c r="H52" s="44">
        <f t="shared" si="10"/>
        <v>4.0318850906366117E-2</v>
      </c>
      <c r="I52" s="44">
        <f t="shared" si="4"/>
        <v>1.8725263118843628E-2</v>
      </c>
      <c r="J52" s="45">
        <f t="shared" si="5"/>
        <v>4.9852931751407238E-2</v>
      </c>
      <c r="AP52" s="9">
        <f t="shared" si="6"/>
        <v>7.9998024122044584E-2</v>
      </c>
    </row>
    <row r="53" spans="1:42">
      <c r="A53" s="81">
        <f t="shared" si="11"/>
        <v>0.60343160682916352</v>
      </c>
      <c r="B53" s="44">
        <f t="shared" si="0"/>
        <v>0.83177534507240991</v>
      </c>
      <c r="C53" s="43">
        <f t="shared" si="12"/>
        <v>0.60314691823630096</v>
      </c>
      <c r="D53" s="65">
        <f t="shared" si="8"/>
        <v>1.2247204657218288E-2</v>
      </c>
      <c r="E53" s="44">
        <f t="shared" si="2"/>
        <v>-0.55764330425772235</v>
      </c>
      <c r="F53" s="76">
        <f t="shared" si="13"/>
        <v>7.224145314428104</v>
      </c>
      <c r="G53" s="76">
        <f t="shared" si="3"/>
        <v>0.69012135060230073</v>
      </c>
      <c r="H53" s="44">
        <f t="shared" si="10"/>
        <v>4.0230096790245543E-2</v>
      </c>
      <c r="I53" s="44">
        <f t="shared" si="4"/>
        <v>1.8684043090497635E-2</v>
      </c>
      <c r="J53" s="45">
        <f t="shared" si="5"/>
        <v>4.9743190208824804E-2</v>
      </c>
      <c r="N53" s="7"/>
      <c r="AP53" s="9">
        <f t="shared" si="6"/>
        <v>8.6689743773137248E-2</v>
      </c>
    </row>
    <row r="54" spans="1:42">
      <c r="A54" s="81">
        <f t="shared" si="11"/>
        <v>0.60400098401488878</v>
      </c>
      <c r="B54" s="44">
        <f t="shared" si="0"/>
        <v>0.83191441688414192</v>
      </c>
      <c r="C54" s="43">
        <f t="shared" si="12"/>
        <v>0.60371629542202609</v>
      </c>
      <c r="D54" s="65">
        <f t="shared" si="8"/>
        <v>1.2208745039455925E-2</v>
      </c>
      <c r="E54" s="44">
        <f t="shared" si="2"/>
        <v>-0.66622810340539829</v>
      </c>
      <c r="F54" s="76">
        <f t="shared" si="13"/>
        <v>7.8903734178335023</v>
      </c>
      <c r="G54" s="76">
        <f t="shared" si="3"/>
        <v>0.69868546502889084</v>
      </c>
      <c r="H54" s="44">
        <f t="shared" si="10"/>
        <v>4.0141621518090372E-2</v>
      </c>
      <c r="I54" s="44">
        <f t="shared" si="4"/>
        <v>1.8642952565510594E-2</v>
      </c>
      <c r="J54" s="45">
        <f t="shared" si="5"/>
        <v>4.9633793447625377E-2</v>
      </c>
      <c r="AP54" s="9">
        <f t="shared" si="6"/>
        <v>9.4684481014002037E-2</v>
      </c>
    </row>
    <row r="55" spans="1:42">
      <c r="A55" s="81">
        <f t="shared" si="11"/>
        <v>0.60457036120061403</v>
      </c>
      <c r="B55" s="44">
        <f t="shared" ref="B55:B60" si="14">A55+q^2/(2*g*A55^2)</f>
        <v>0.83205470389275671</v>
      </c>
      <c r="C55" s="43">
        <f t="shared" ref="C55:C59" si="15">AVERAGE(A54,A55)</f>
        <v>0.60428567260775146</v>
      </c>
      <c r="D55" s="65">
        <f t="shared" si="8"/>
        <v>1.2170442279912897E-2</v>
      </c>
      <c r="E55" s="44">
        <f t="shared" si="2"/>
        <v>-0.82307634400622365</v>
      </c>
      <c r="F55" s="76">
        <f t="shared" ref="F55:F59" si="16">F54-E55</f>
        <v>8.7134497618397262</v>
      </c>
      <c r="G55" s="76">
        <f t="shared" si="3"/>
        <v>0.70913175834269071</v>
      </c>
      <c r="H55" s="44">
        <f t="shared" si="10"/>
        <v>4.0053423952094658E-2</v>
      </c>
      <c r="I55" s="44">
        <f t="shared" si="4"/>
        <v>1.8601991015451871E-2</v>
      </c>
      <c r="J55" s="45">
        <f t="shared" si="5"/>
        <v>4.9524740060949368E-2</v>
      </c>
      <c r="AP55" s="9">
        <f t="shared" si="6"/>
        <v>0.10456139714207671</v>
      </c>
    </row>
    <row r="56" spans="1:42">
      <c r="A56" s="81">
        <f t="shared" si="11"/>
        <v>0.60513973838633928</v>
      </c>
      <c r="B56" s="44">
        <f t="shared" si="14"/>
        <v>0.83219620152688212</v>
      </c>
      <c r="C56" s="43">
        <f t="shared" si="15"/>
        <v>0.6048550497934766</v>
      </c>
      <c r="D56" s="65">
        <f t="shared" si="8"/>
        <v>1.2132295591946413E-2</v>
      </c>
      <c r="E56" s="44">
        <f t="shared" si="2"/>
        <v>-1.0695566801857128</v>
      </c>
      <c r="F56" s="76">
        <f t="shared" si="16"/>
        <v>9.7830064420254388</v>
      </c>
      <c r="G56" s="76">
        <f t="shared" si="3"/>
        <v>0.72253581569064451</v>
      </c>
      <c r="H56" s="44">
        <f t="shared" si="10"/>
        <v>3.996550296016143E-2</v>
      </c>
      <c r="I56" s="44">
        <f t="shared" si="4"/>
        <v>1.8561157914542256E-2</v>
      </c>
      <c r="J56" s="45">
        <f t="shared" si="5"/>
        <v>4.9416028648996128E-2</v>
      </c>
      <c r="AP56" s="9">
        <f t="shared" si="6"/>
        <v>0.11739607730430526</v>
      </c>
    </row>
    <row r="57" spans="1:42">
      <c r="A57" s="81">
        <f t="shared" si="11"/>
        <v>0.60570911557206453</v>
      </c>
      <c r="B57" s="44">
        <f t="shared" si="14"/>
        <v>0.83233890523662135</v>
      </c>
      <c r="C57" s="43">
        <f t="shared" si="15"/>
        <v>0.60542442697920196</v>
      </c>
      <c r="D57" s="65">
        <f t="shared" si="8"/>
        <v>1.2094304193593896E-2</v>
      </c>
      <c r="E57" s="44">
        <f t="shared" si="2"/>
        <v>-1.5132276126951614</v>
      </c>
      <c r="F57" s="76">
        <f t="shared" si="16"/>
        <v>11.2962340547206</v>
      </c>
      <c r="G57" s="76">
        <f t="shared" si="3"/>
        <v>0.74126392422871179</v>
      </c>
      <c r="H57" s="44">
        <f t="shared" si="10"/>
        <v>3.987785741586828E-2</v>
      </c>
      <c r="I57" s="44">
        <f t="shared" si="4"/>
        <v>1.8520452739637969E-2</v>
      </c>
      <c r="J57" s="45">
        <f t="shared" si="5"/>
        <v>4.9307657818981443E-2</v>
      </c>
      <c r="AP57" s="9">
        <f t="shared" si="6"/>
        <v>0.13555480865664721</v>
      </c>
    </row>
    <row r="58" spans="1:42">
      <c r="A58" s="81">
        <f t="shared" si="11"/>
        <v>0.60627849275778978</v>
      </c>
      <c r="B58" s="47">
        <f t="shared" si="14"/>
        <v>0.83248281049343276</v>
      </c>
      <c r="C58" s="46">
        <f t="shared" si="15"/>
        <v>0.6059938041649271</v>
      </c>
      <c r="D58" s="66">
        <f t="shared" si="8"/>
        <v>1.2056467307540926E-2</v>
      </c>
      <c r="E58" s="47">
        <f t="shared" si="2"/>
        <v>-2.5484703110221152</v>
      </c>
      <c r="F58" s="82">
        <f t="shared" si="16"/>
        <v>13.844704365742714</v>
      </c>
      <c r="G58" s="82">
        <f t="shared" si="3"/>
        <v>0.77241494514670239</v>
      </c>
      <c r="H58" s="44">
        <f t="shared" si="10"/>
        <v>3.9790486198434061E-2</v>
      </c>
      <c r="I58" s="44">
        <f t="shared" si="4"/>
        <v>1.84798749702152E-2</v>
      </c>
      <c r="J58" s="45">
        <f t="shared" si="5"/>
        <v>4.919962618509631E-2</v>
      </c>
      <c r="AP58" s="9">
        <f t="shared" si="6"/>
        <v>0.16613645238891259</v>
      </c>
    </row>
    <row r="59" spans="1:42" ht="13.5" thickBot="1">
      <c r="A59" s="83">
        <f t="shared" si="11"/>
        <v>0.60684786994351503</v>
      </c>
      <c r="B59" s="49">
        <f t="shared" si="14"/>
        <v>0.83262791279000892</v>
      </c>
      <c r="C59" s="48">
        <f t="shared" si="15"/>
        <v>0.60656318135065246</v>
      </c>
      <c r="D59" s="67">
        <f t="shared" si="8"/>
        <v>1.2018784161089147E-2</v>
      </c>
      <c r="E59" s="49">
        <f t="shared" si="2"/>
        <v>-7.7247153007009688</v>
      </c>
      <c r="F59" s="84">
        <f t="shared" si="16"/>
        <v>21.569419666443682</v>
      </c>
      <c r="G59" s="84">
        <f t="shared" si="3"/>
        <v>0.86568090594083924</v>
      </c>
      <c r="H59" s="49">
        <f t="shared" si="10"/>
        <v>3.9703388192684999E-2</v>
      </c>
      <c r="I59" s="49">
        <f t="shared" si="4"/>
        <v>1.8439424088354372E-2</v>
      </c>
      <c r="J59" s="50">
        <f t="shared" si="5"/>
        <v>4.909193236846509E-2</v>
      </c>
      <c r="AP59" s="9">
        <f t="shared" si="6"/>
        <v>0.25883303599732421</v>
      </c>
    </row>
    <row r="60" spans="1:42" ht="13.5" thickTop="1">
      <c r="A60" s="85">
        <f>hn</f>
        <v>0.60684786994351347</v>
      </c>
      <c r="B60" s="85">
        <f t="shared" si="14"/>
        <v>0.83262791279000847</v>
      </c>
      <c r="C60" s="86"/>
      <c r="D60" s="87">
        <f>(n*q/A60^(5/3))^2</f>
        <v>1.1999999999999999E-2</v>
      </c>
    </row>
    <row r="73" spans="1:7">
      <c r="A73" s="2" t="s">
        <v>15</v>
      </c>
    </row>
    <row r="74" spans="1:7">
      <c r="A74" s="7">
        <f>A19</f>
        <v>0.5499101513709922</v>
      </c>
      <c r="B74" s="7">
        <f t="shared" ref="B74:B75" si="17">A74+q^2/(2*g*A74^2)</f>
        <v>0.82486522705648824</v>
      </c>
    </row>
    <row r="75" spans="1:7">
      <c r="A75" s="7">
        <f>A59</f>
        <v>0.60684786994351503</v>
      </c>
      <c r="B75" s="7">
        <f t="shared" si="17"/>
        <v>0.83262791279000892</v>
      </c>
      <c r="C75" s="7">
        <f>AVERAGE(A74,A75)</f>
        <v>0.57837901065725361</v>
      </c>
      <c r="D75" s="7">
        <f>(n*q/C75^(5/3))^2</f>
        <v>1.408441907639655E-2</v>
      </c>
      <c r="E75" s="7">
        <f>(B74-B75)/(D75-So)</f>
        <v>-3.7241482873686151</v>
      </c>
      <c r="F75" s="8">
        <f t="shared" ref="F75" si="18">F74-E75</f>
        <v>3.7241482873686151</v>
      </c>
      <c r="G75" s="8">
        <f>A75+F75*So</f>
        <v>0.65153764939193837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4</xdr:col>
                <xdr:colOff>12700</xdr:colOff>
                <xdr:row>9</xdr:row>
                <xdr:rowOff>82550</xdr:rowOff>
              </from>
              <to>
                <xdr:col>8</xdr:col>
                <xdr:colOff>520700</xdr:colOff>
                <xdr:row>15</xdr:row>
                <xdr:rowOff>152400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DSMT4" shapeId="1039" r:id="rId6">
          <objectPr defaultSize="0" autoPict="0" r:id="rId7">
            <anchor moveWithCells="1">
              <from>
                <xdr:col>10</xdr:col>
                <xdr:colOff>609600</xdr:colOff>
                <xdr:row>0</xdr:row>
                <xdr:rowOff>0</xdr:rowOff>
              </from>
              <to>
                <xdr:col>14</xdr:col>
                <xdr:colOff>584200</xdr:colOff>
                <xdr:row>14</xdr:row>
                <xdr:rowOff>127000</xdr:rowOff>
              </to>
            </anchor>
          </objectPr>
        </oleObject>
      </mc:Choice>
      <mc:Fallback>
        <oleObject progId="Equation.DSMT4" shapeId="1039" r:id="rId6"/>
      </mc:Fallback>
    </mc:AlternateContent>
    <mc:AlternateContent xmlns:mc="http://schemas.openxmlformats.org/markup-compatibility/2006">
      <mc:Choice Requires="x14">
        <oleObject progId="Equation.DSMT4" shapeId="1040" r:id="rId8">
          <objectPr defaultSize="0" r:id="rId9">
            <anchor moveWithCells="1">
              <from>
                <xdr:col>2</xdr:col>
                <xdr:colOff>584200</xdr:colOff>
                <xdr:row>12</xdr:row>
                <xdr:rowOff>0</xdr:rowOff>
              </from>
              <to>
                <xdr:col>3</xdr:col>
                <xdr:colOff>787400</xdr:colOff>
                <xdr:row>14</xdr:row>
                <xdr:rowOff>152400</xdr:rowOff>
              </to>
            </anchor>
          </objectPr>
        </oleObject>
      </mc:Choice>
      <mc:Fallback>
        <oleObject progId="Equation.DSMT4" shapeId="1040" r:id="rId8"/>
      </mc:Fallback>
    </mc:AlternateContent>
    <mc:AlternateContent xmlns:mc="http://schemas.openxmlformats.org/markup-compatibility/2006">
      <mc:Choice Requires="x14">
        <oleObject progId="Equation.DSMT4" shapeId="1041" r:id="rId10">
          <objectPr defaultSize="0" r:id="rId11">
            <anchor moveWithCells="1">
              <from>
                <xdr:col>18</xdr:col>
                <xdr:colOff>933450</xdr:colOff>
                <xdr:row>4</xdr:row>
                <xdr:rowOff>38100</xdr:rowOff>
              </from>
              <to>
                <xdr:col>19</xdr:col>
                <xdr:colOff>1295400</xdr:colOff>
                <xdr:row>12</xdr:row>
                <xdr:rowOff>38100</xdr:rowOff>
              </to>
            </anchor>
          </objectPr>
        </oleObject>
      </mc:Choice>
      <mc:Fallback>
        <oleObject progId="Equation.DSMT4" shapeId="1041" r:id="rId10"/>
      </mc:Fallback>
    </mc:AlternateContent>
    <mc:AlternateContent xmlns:mc="http://schemas.openxmlformats.org/markup-compatibility/2006">
      <mc:Choice Requires="x14">
        <oleObject progId="Equation.DSMT4" shapeId="1043" r:id="rId12">
          <objectPr defaultSize="0" r:id="rId13">
            <anchor moveWithCells="1">
              <from>
                <xdr:col>14</xdr:col>
                <xdr:colOff>590550</xdr:colOff>
                <xdr:row>4</xdr:row>
                <xdr:rowOff>38100</xdr:rowOff>
              </from>
              <to>
                <xdr:col>18</xdr:col>
                <xdr:colOff>908050</xdr:colOff>
                <xdr:row>13</xdr:row>
                <xdr:rowOff>76200</xdr:rowOff>
              </to>
            </anchor>
          </objectPr>
        </oleObject>
      </mc:Choice>
      <mc:Fallback>
        <oleObject progId="Equation.DSMT4" shapeId="1043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403D-9DD8-4F91-9536-3ACDADDA8C89}">
  <dimension ref="A3:G41"/>
  <sheetViews>
    <sheetView topLeftCell="A4" zoomScale="85" zoomScaleNormal="85" workbookViewId="0">
      <selection activeCell="H49" sqref="H49"/>
    </sheetView>
  </sheetViews>
  <sheetFormatPr defaultRowHeight="14.5"/>
  <cols>
    <col min="1" max="16384" width="8.7265625" style="11"/>
  </cols>
  <sheetData>
    <row r="3" spans="1:5">
      <c r="A3" s="11" t="s">
        <v>24</v>
      </c>
    </row>
    <row r="4" spans="1:5">
      <c r="A4" s="11" t="s">
        <v>46</v>
      </c>
      <c r="B4" s="11" t="s">
        <v>47</v>
      </c>
      <c r="D4" s="11" t="s">
        <v>46</v>
      </c>
      <c r="E4" s="11" t="s">
        <v>47</v>
      </c>
    </row>
    <row r="5" spans="1:5">
      <c r="A5" s="89">
        <v>44769</v>
      </c>
      <c r="B5" s="89">
        <v>45139</v>
      </c>
      <c r="D5" s="89">
        <v>44769</v>
      </c>
      <c r="E5" s="89">
        <v>45139</v>
      </c>
    </row>
    <row r="6" spans="1:5" ht="15" thickBot="1"/>
    <row r="7" spans="1:5">
      <c r="A7" s="28" t="s">
        <v>23</v>
      </c>
      <c r="B7" s="28" t="s">
        <v>23</v>
      </c>
      <c r="C7" s="30" t="s">
        <v>22</v>
      </c>
      <c r="D7" s="95" t="s">
        <v>21</v>
      </c>
      <c r="E7" s="101" t="s">
        <v>21</v>
      </c>
    </row>
    <row r="8" spans="1:5" ht="15" thickBot="1">
      <c r="A8" s="28"/>
      <c r="B8" s="28"/>
      <c r="C8" s="29" t="s">
        <v>20</v>
      </c>
      <c r="D8" s="96"/>
      <c r="E8" s="97"/>
    </row>
    <row r="9" spans="1:5">
      <c r="A9" s="28"/>
      <c r="B9" s="28"/>
      <c r="C9" s="90">
        <f>2^9.5</f>
        <v>724.0773439350246</v>
      </c>
      <c r="D9" s="98">
        <v>100</v>
      </c>
      <c r="E9" s="27">
        <v>100</v>
      </c>
    </row>
    <row r="10" spans="1:5">
      <c r="A10" s="24">
        <v>1</v>
      </c>
      <c r="B10" s="24"/>
      <c r="C10" s="91">
        <v>512</v>
      </c>
      <c r="D10" s="99">
        <f t="shared" ref="D10:D23" si="0">D9-100*(A10/A$24)</f>
        <v>99.009900990099013</v>
      </c>
      <c r="E10" s="26">
        <f t="shared" ref="E10:E23" si="1">E9-100*(B10/B$24)</f>
        <v>100</v>
      </c>
    </row>
    <row r="11" spans="1:5">
      <c r="A11" s="24"/>
      <c r="B11" s="24"/>
      <c r="C11" s="92">
        <v>362.0386719675123</v>
      </c>
      <c r="D11" s="99">
        <f t="shared" si="0"/>
        <v>99.009900990099013</v>
      </c>
      <c r="E11" s="26">
        <f t="shared" si="1"/>
        <v>100</v>
      </c>
    </row>
    <row r="12" spans="1:5">
      <c r="A12" s="24">
        <v>7</v>
      </c>
      <c r="B12" s="24">
        <v>1</v>
      </c>
      <c r="C12" s="91">
        <v>255.99999999999997</v>
      </c>
      <c r="D12" s="99">
        <f t="shared" si="0"/>
        <v>92.079207920792086</v>
      </c>
      <c r="E12" s="26">
        <f t="shared" si="1"/>
        <v>99.056603773584911</v>
      </c>
    </row>
    <row r="13" spans="1:5">
      <c r="A13" s="24">
        <v>11</v>
      </c>
      <c r="B13" s="24">
        <v>3</v>
      </c>
      <c r="C13" s="92">
        <v>181.01933598375612</v>
      </c>
      <c r="D13" s="99">
        <f t="shared" si="0"/>
        <v>81.188118811881196</v>
      </c>
      <c r="E13" s="26">
        <f t="shared" si="1"/>
        <v>96.226415094339629</v>
      </c>
    </row>
    <row r="14" spans="1:5">
      <c r="A14" s="24">
        <v>21</v>
      </c>
      <c r="B14" s="24">
        <v>5</v>
      </c>
      <c r="C14" s="91">
        <v>127.99999999999996</v>
      </c>
      <c r="D14" s="99">
        <f t="shared" si="0"/>
        <v>60.396039603960403</v>
      </c>
      <c r="E14" s="26">
        <f t="shared" si="1"/>
        <v>91.509433962264154</v>
      </c>
    </row>
    <row r="15" spans="1:5">
      <c r="A15" s="24">
        <v>26</v>
      </c>
      <c r="B15" s="24">
        <v>10</v>
      </c>
      <c r="C15" s="92">
        <v>90.509667991878047</v>
      </c>
      <c r="D15" s="99">
        <f t="shared" si="0"/>
        <v>34.653465346534659</v>
      </c>
      <c r="E15" s="26">
        <f t="shared" si="1"/>
        <v>82.075471698113205</v>
      </c>
    </row>
    <row r="16" spans="1:5">
      <c r="A16" s="24">
        <v>16</v>
      </c>
      <c r="B16" s="24">
        <v>14</v>
      </c>
      <c r="C16" s="91">
        <v>63.999999999999972</v>
      </c>
      <c r="D16" s="99">
        <f t="shared" si="0"/>
        <v>18.811881188118818</v>
      </c>
      <c r="E16" s="26">
        <f t="shared" si="1"/>
        <v>68.867924528301884</v>
      </c>
    </row>
    <row r="17" spans="1:7">
      <c r="A17" s="24">
        <v>9</v>
      </c>
      <c r="B17" s="24">
        <v>17</v>
      </c>
      <c r="C17" s="92">
        <v>45.254833995939016</v>
      </c>
      <c r="D17" s="99">
        <f t="shared" si="0"/>
        <v>9.900990099009908</v>
      </c>
      <c r="E17" s="26">
        <f t="shared" si="1"/>
        <v>52.830188679245282</v>
      </c>
    </row>
    <row r="18" spans="1:7">
      <c r="A18" s="24">
        <v>3</v>
      </c>
      <c r="B18" s="24">
        <v>20</v>
      </c>
      <c r="C18" s="91">
        <v>31.999999999999979</v>
      </c>
      <c r="D18" s="99">
        <f t="shared" si="0"/>
        <v>6.9306930693069377</v>
      </c>
      <c r="E18" s="26">
        <f t="shared" si="1"/>
        <v>33.962264150943398</v>
      </c>
    </row>
    <row r="19" spans="1:7">
      <c r="A19" s="24">
        <v>3</v>
      </c>
      <c r="B19" s="24">
        <v>14</v>
      </c>
      <c r="C19" s="92">
        <v>22.627416997969505</v>
      </c>
      <c r="D19" s="99">
        <f t="shared" si="0"/>
        <v>3.9603960396039675</v>
      </c>
      <c r="E19" s="26">
        <f t="shared" si="1"/>
        <v>20.754716981132077</v>
      </c>
    </row>
    <row r="20" spans="1:7">
      <c r="A20" s="24">
        <v>2</v>
      </c>
      <c r="B20" s="24">
        <v>11</v>
      </c>
      <c r="C20" s="91">
        <v>15.999999999999988</v>
      </c>
      <c r="D20" s="99">
        <f t="shared" si="0"/>
        <v>1.9801980198019873</v>
      </c>
      <c r="E20" s="26">
        <f t="shared" si="1"/>
        <v>10.377358490566039</v>
      </c>
    </row>
    <row r="21" spans="1:7">
      <c r="A21" s="24"/>
      <c r="B21" s="24">
        <v>5</v>
      </c>
      <c r="C21" s="92">
        <v>11.313708498984751</v>
      </c>
      <c r="D21" s="99">
        <f t="shared" si="0"/>
        <v>1.9801980198019873</v>
      </c>
      <c r="E21" s="26">
        <f t="shared" si="1"/>
        <v>5.6603773584905666</v>
      </c>
    </row>
    <row r="22" spans="1:7" ht="15" thickBot="1">
      <c r="A22" s="24"/>
      <c r="B22" s="24">
        <v>6</v>
      </c>
      <c r="C22" s="93">
        <v>7.9999999999999929</v>
      </c>
      <c r="D22" s="100">
        <f t="shared" si="0"/>
        <v>1.9801980198019873</v>
      </c>
      <c r="E22" s="25">
        <f t="shared" si="1"/>
        <v>0</v>
      </c>
    </row>
    <row r="23" spans="1:7">
      <c r="A23" s="24">
        <v>2</v>
      </c>
      <c r="B23" s="24"/>
      <c r="C23" s="94" t="s">
        <v>19</v>
      </c>
      <c r="D23" s="23">
        <f t="shared" si="0"/>
        <v>7.1054273576010019E-15</v>
      </c>
      <c r="E23" s="23">
        <f t="shared" si="1"/>
        <v>0</v>
      </c>
    </row>
    <row r="24" spans="1:7">
      <c r="A24" s="22">
        <f>SUM(A10:A23)</f>
        <v>101</v>
      </c>
      <c r="B24" s="22">
        <f>SUM(B10:B23)</f>
        <v>106</v>
      </c>
      <c r="C24" s="21"/>
      <c r="F24" s="11" t="s">
        <v>44</v>
      </c>
    </row>
    <row r="27" spans="1:7">
      <c r="G27" s="20" t="s">
        <v>18</v>
      </c>
    </row>
    <row r="28" spans="1:7" ht="15" thickBot="1">
      <c r="B28" s="16">
        <v>127.99999999999996</v>
      </c>
      <c r="C28" s="16"/>
      <c r="D28" s="15">
        <v>60.396039603960403</v>
      </c>
      <c r="E28" s="11">
        <f>LOG(B28,2)</f>
        <v>7</v>
      </c>
      <c r="F28" s="12">
        <f>(G29-D29)/(D28-D29)</f>
        <v>0.59615384615384592</v>
      </c>
    </row>
    <row r="29" spans="1:7" ht="15.5" thickTop="1" thickBot="1">
      <c r="B29" s="17">
        <v>90.509667991878047</v>
      </c>
      <c r="C29" s="16"/>
      <c r="D29" s="15">
        <v>34.653465346534659</v>
      </c>
      <c r="E29" s="11">
        <f>LOG(B29,2)</f>
        <v>6.5</v>
      </c>
      <c r="F29" s="19">
        <f>2^(E29+F28*(E28-E29))</f>
        <v>111.28203698181825</v>
      </c>
      <c r="G29" s="18">
        <v>50</v>
      </c>
    </row>
    <row r="30" spans="1:7" ht="15.5" thickTop="1" thickBot="1">
      <c r="B30" s="16">
        <v>255.99999999999997</v>
      </c>
      <c r="C30" s="16"/>
      <c r="D30" s="15">
        <v>92.079207920792086</v>
      </c>
      <c r="E30" s="11">
        <f>LOG(B30,2)</f>
        <v>8</v>
      </c>
      <c r="F30" s="12">
        <f>(G31-D31)/(D30-D31)</f>
        <v>0.80909090909090842</v>
      </c>
    </row>
    <row r="31" spans="1:7" ht="15.5" thickTop="1" thickBot="1">
      <c r="B31" s="17">
        <v>181.01933598375612</v>
      </c>
      <c r="C31" s="16"/>
      <c r="D31" s="15">
        <v>81.188118811881196</v>
      </c>
      <c r="E31" s="11">
        <f>LOG(B31,2)</f>
        <v>7.5</v>
      </c>
      <c r="F31" s="14">
        <f>2^(E31+F30*(E30-E31))</f>
        <v>239.61019020937155</v>
      </c>
      <c r="G31" s="13">
        <v>90</v>
      </c>
    </row>
    <row r="32" spans="1:7" ht="15" thickTop="1"/>
    <row r="33" spans="2:7" ht="15" thickBot="1">
      <c r="B33" s="92">
        <v>45.254833995939016</v>
      </c>
      <c r="C33" s="16"/>
      <c r="D33" s="15">
        <v>52.830188679245282</v>
      </c>
      <c r="E33" s="11">
        <f>LOG(B33,2)</f>
        <v>5.5</v>
      </c>
      <c r="F33" s="12">
        <f>(G34-D34)/(D33-D34)</f>
        <v>0.85000000000000009</v>
      </c>
    </row>
    <row r="34" spans="2:7" ht="15.5" thickTop="1" thickBot="1">
      <c r="B34" s="91">
        <v>31.999999999999979</v>
      </c>
      <c r="C34" s="16"/>
      <c r="D34" s="15">
        <v>33.962264150943398</v>
      </c>
      <c r="E34" s="11">
        <f>LOG(B34,2)</f>
        <v>4.9999999999999991</v>
      </c>
      <c r="F34" s="19">
        <f>2^(E34+F33*(E33-E34))</f>
        <v>42.962320088968418</v>
      </c>
      <c r="G34" s="18">
        <v>50</v>
      </c>
    </row>
    <row r="35" spans="2:7" ht="15.5" thickTop="1" thickBot="1">
      <c r="B35" s="91">
        <v>127.99999999999996</v>
      </c>
      <c r="C35" s="16"/>
      <c r="D35" s="15">
        <v>91.509433962264154</v>
      </c>
      <c r="E35" s="11">
        <f>LOG(B35,2)</f>
        <v>7</v>
      </c>
      <c r="F35" s="12">
        <f>(G36-D36)/(D35-D36)</f>
        <v>0.83999999999999975</v>
      </c>
    </row>
    <row r="36" spans="2:7" ht="15.5" thickTop="1" thickBot="1">
      <c r="B36" s="92">
        <v>90.509667991878047</v>
      </c>
      <c r="C36" s="16"/>
      <c r="D36" s="15">
        <v>82.075471698113205</v>
      </c>
      <c r="E36" s="11">
        <f>LOG(B36,2)</f>
        <v>6.5</v>
      </c>
      <c r="F36" s="14">
        <f>2^(E36+F35*(E35-E36))</f>
        <v>121.0953787808762</v>
      </c>
      <c r="G36" s="13">
        <v>90</v>
      </c>
    </row>
    <row r="37" spans="2:7" ht="15" thickTop="1"/>
    <row r="39" spans="2:7" ht="16.5">
      <c r="E39" s="32" t="s">
        <v>25</v>
      </c>
      <c r="F39" s="31">
        <v>3</v>
      </c>
      <c r="G39" s="33" t="s">
        <v>26</v>
      </c>
    </row>
    <row r="40" spans="2:7" ht="16.5">
      <c r="E40" s="32" t="s">
        <v>25</v>
      </c>
      <c r="F40" s="34">
        <f>F39*Dninety/1000</f>
        <v>0.71883057062811462</v>
      </c>
      <c r="G40" s="11" t="s">
        <v>1</v>
      </c>
    </row>
    <row r="41" spans="2:7" ht="16.5">
      <c r="E41" s="20" t="s">
        <v>27</v>
      </c>
      <c r="F41" s="35">
        <f>F40^(1/6)/(8.1*SQRT(g))</f>
        <v>3.7306533843157269E-2</v>
      </c>
    </row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3073" r:id="rId4">
          <objectPr defaultSize="0" r:id="rId5">
            <anchor moveWithCells="1">
              <from>
                <xdr:col>0</xdr:col>
                <xdr:colOff>6350</xdr:colOff>
                <xdr:row>38</xdr:row>
                <xdr:rowOff>6350</xdr:rowOff>
              </from>
              <to>
                <xdr:col>3</xdr:col>
                <xdr:colOff>603250</xdr:colOff>
                <xdr:row>48</xdr:row>
                <xdr:rowOff>12700</xdr:rowOff>
              </to>
            </anchor>
          </objectPr>
        </oleObject>
      </mc:Choice>
      <mc:Fallback>
        <oleObject progId="Equation.DSMT4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Direct step</vt:lpstr>
      <vt:lpstr>GSD</vt:lpstr>
      <vt:lpstr>Dfifty</vt:lpstr>
      <vt:lpstr>Dninety</vt:lpstr>
      <vt:lpstr>g</vt:lpstr>
      <vt:lpstr>Hbw</vt:lpstr>
      <vt:lpstr>hc</vt:lpstr>
      <vt:lpstr>hn</vt:lpstr>
      <vt:lpstr>n</vt:lpstr>
      <vt:lpstr>nD</vt:lpstr>
      <vt:lpstr>q</vt:lpstr>
      <vt:lpstr>So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Wilcock</dc:creator>
  <cp:lastModifiedBy>Peter Wilcock</cp:lastModifiedBy>
  <dcterms:created xsi:type="dcterms:W3CDTF">2008-12-03T16:04:14Z</dcterms:created>
  <dcterms:modified xsi:type="dcterms:W3CDTF">2024-07-29T22:55:00Z</dcterms:modified>
</cp:coreProperties>
</file>